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3645" windowWidth="14805" windowHeight="4485"/>
  </bookViews>
  <sheets>
    <sheet name="ФСГС" sheetId="8" r:id="rId1"/>
  </sheets>
  <definedNames>
    <definedName name="_xlnm.Print_Titles" localSheetId="0">ФСГС!$14:$14</definedName>
    <definedName name="_xlnm.Print_Area" localSheetId="0">ФСГС!$A$1:$AA$524</definedName>
  </definedNames>
  <calcPr calcId="145621"/>
</workbook>
</file>

<file path=xl/calcChain.xml><?xml version="1.0" encoding="utf-8"?>
<calcChain xmlns="http://schemas.openxmlformats.org/spreadsheetml/2006/main">
  <c r="Z157" i="8" l="1"/>
  <c r="Z163" i="8"/>
  <c r="V157" i="8" l="1"/>
  <c r="W157" i="8"/>
  <c r="X157" i="8"/>
  <c r="Y157" i="8"/>
  <c r="T157" i="8"/>
  <c r="U160" i="8"/>
  <c r="V160" i="8"/>
  <c r="W160" i="8"/>
  <c r="X160" i="8"/>
  <c r="Y160" i="8"/>
  <c r="U161" i="8"/>
  <c r="V161" i="8"/>
  <c r="W161" i="8"/>
  <c r="X161" i="8"/>
  <c r="Y161" i="8"/>
  <c r="U162" i="8"/>
  <c r="V162" i="8"/>
  <c r="W162" i="8"/>
  <c r="X162" i="8"/>
  <c r="Y162" i="8"/>
  <c r="T162" i="8"/>
  <c r="T161" i="8"/>
  <c r="T160" i="8"/>
  <c r="Z196" i="8"/>
  <c r="Z195" i="8"/>
  <c r="Z194" i="8"/>
  <c r="T194" i="8"/>
  <c r="U193" i="8"/>
  <c r="T193" i="8"/>
  <c r="Z193" i="8" s="1"/>
  <c r="U192" i="8"/>
  <c r="Z192" i="8" s="1"/>
  <c r="Y191" i="8"/>
  <c r="X191" i="8"/>
  <c r="W191" i="8"/>
  <c r="V191" i="8"/>
  <c r="Z190" i="8"/>
  <c r="Z189" i="8"/>
  <c r="Z188" i="8"/>
  <c r="Z187" i="8"/>
  <c r="Z186" i="8"/>
  <c r="Z185" i="8"/>
  <c r="Y184" i="8"/>
  <c r="X184" i="8"/>
  <c r="W184" i="8"/>
  <c r="V184" i="8"/>
  <c r="U184" i="8"/>
  <c r="T184" i="8"/>
  <c r="Z183" i="8"/>
  <c r="Z182" i="8"/>
  <c r="Z181" i="8"/>
  <c r="Z180" i="8"/>
  <c r="Z179" i="8"/>
  <c r="Z178" i="8"/>
  <c r="Y177" i="8"/>
  <c r="X177" i="8"/>
  <c r="W177" i="8"/>
  <c r="V177" i="8"/>
  <c r="U177" i="8"/>
  <c r="T177" i="8"/>
  <c r="Z176" i="8"/>
  <c r="Z175" i="8"/>
  <c r="Z174" i="8"/>
  <c r="Z173" i="8"/>
  <c r="Z172" i="8"/>
  <c r="T171" i="8"/>
  <c r="Z171" i="8" s="1"/>
  <c r="Y170" i="8"/>
  <c r="X170" i="8"/>
  <c r="W170" i="8"/>
  <c r="V170" i="8"/>
  <c r="T170" i="8"/>
  <c r="Z169" i="8"/>
  <c r="Z168" i="8"/>
  <c r="Z167" i="8"/>
  <c r="Z166" i="8"/>
  <c r="Z165" i="8"/>
  <c r="Z164" i="8"/>
  <c r="Y163" i="8"/>
  <c r="X163" i="8"/>
  <c r="W163" i="8"/>
  <c r="V163" i="8"/>
  <c r="T163" i="8"/>
  <c r="Z184" i="8" l="1"/>
  <c r="Z170" i="8"/>
  <c r="U163" i="8"/>
  <c r="U170" i="8"/>
  <c r="Z177" i="8"/>
  <c r="U191" i="8"/>
  <c r="T191" i="8"/>
  <c r="Z191" i="8" s="1"/>
  <c r="U157" i="8" l="1"/>
  <c r="U480" i="8"/>
  <c r="U92" i="8" l="1"/>
  <c r="U66" i="8"/>
  <c r="T66" i="8"/>
  <c r="W491" i="8" l="1"/>
  <c r="V491" i="8"/>
  <c r="W488" i="8"/>
  <c r="V488" i="8"/>
  <c r="W485" i="8"/>
  <c r="V485" i="8"/>
  <c r="W482" i="8"/>
  <c r="V482" i="8"/>
  <c r="U491" i="8"/>
  <c r="U488" i="8"/>
  <c r="U485" i="8"/>
  <c r="U482" i="8"/>
  <c r="U79" i="8" l="1"/>
  <c r="U39" i="8" s="1"/>
  <c r="Z97" i="8"/>
  <c r="U96" i="8"/>
  <c r="U122" i="8"/>
  <c r="Z131" i="8"/>
  <c r="Z132" i="8"/>
  <c r="Z130" i="8"/>
  <c r="Z496" i="8" l="1"/>
  <c r="Z495" i="8"/>
  <c r="U520" i="8"/>
  <c r="T98" i="8" l="1"/>
  <c r="T46" i="8"/>
  <c r="Y137" i="8" l="1"/>
  <c r="X137" i="8"/>
  <c r="W137" i="8"/>
  <c r="V137" i="8"/>
  <c r="U137" i="8"/>
  <c r="T137" i="8"/>
  <c r="T200" i="8" l="1"/>
  <c r="T140" i="8" l="1"/>
  <c r="X125" i="8" l="1"/>
  <c r="X25" i="8"/>
  <c r="W25" i="8"/>
  <c r="V25" i="8"/>
  <c r="U25" i="8"/>
  <c r="T25" i="8"/>
  <c r="T138" i="8" l="1"/>
  <c r="Y26" i="8" l="1"/>
  <c r="X26" i="8"/>
  <c r="W26" i="8"/>
  <c r="V26" i="8"/>
  <c r="U26" i="8"/>
  <c r="T26" i="8"/>
  <c r="T198" i="8" l="1"/>
  <c r="T96" i="8" l="1"/>
  <c r="Z96" i="8" s="1"/>
  <c r="T45" i="8"/>
  <c r="T114" i="8"/>
  <c r="T111" i="8"/>
  <c r="T505" i="8"/>
  <c r="T472" i="8"/>
  <c r="T151" i="8"/>
  <c r="T109" i="8"/>
  <c r="T92" i="8"/>
  <c r="T105" i="8"/>
  <c r="T88" i="8"/>
  <c r="T84" i="8"/>
  <c r="T61" i="8"/>
  <c r="T470" i="8"/>
  <c r="T74" i="8"/>
  <c r="T63" i="8"/>
  <c r="T499" i="8"/>
  <c r="T466" i="8"/>
  <c r="T103" i="8"/>
  <c r="T80" i="8"/>
  <c r="T70" i="8"/>
  <c r="Z99" i="8" l="1"/>
  <c r="T201" i="8" l="1"/>
  <c r="Z521" i="8" l="1"/>
  <c r="Z457" i="8"/>
  <c r="Z456" i="8"/>
  <c r="Z454" i="8"/>
  <c r="Z451" i="8"/>
  <c r="Z448" i="8"/>
  <c r="U29" i="8" l="1"/>
  <c r="V29" i="8"/>
  <c r="W29" i="8"/>
  <c r="X29" i="8"/>
  <c r="Y29" i="8"/>
  <c r="T29" i="8"/>
  <c r="U28" i="8"/>
  <c r="V28" i="8"/>
  <c r="W28" i="8"/>
  <c r="X28" i="8"/>
  <c r="Y28" i="8"/>
  <c r="T28" i="8"/>
  <c r="U447" i="8" l="1"/>
  <c r="U144" i="8"/>
  <c r="V144" i="8"/>
  <c r="W144" i="8"/>
  <c r="X144" i="8"/>
  <c r="Y144" i="8"/>
  <c r="T144" i="8"/>
  <c r="Z144" i="8" s="1"/>
  <c r="U445" i="8"/>
  <c r="V445" i="8"/>
  <c r="W445" i="8"/>
  <c r="X445" i="8"/>
  <c r="Y445" i="8"/>
  <c r="T445" i="8"/>
  <c r="V447" i="8"/>
  <c r="W447" i="8"/>
  <c r="X447" i="8"/>
  <c r="Y447" i="8"/>
  <c r="T447" i="8"/>
  <c r="U446" i="8"/>
  <c r="V446" i="8"/>
  <c r="V142" i="8" s="1"/>
  <c r="W446" i="8"/>
  <c r="W142" i="8" s="1"/>
  <c r="X446" i="8"/>
  <c r="X142" i="8" s="1"/>
  <c r="Y446" i="8"/>
  <c r="T446" i="8"/>
  <c r="Z453" i="8"/>
  <c r="Z452" i="8"/>
  <c r="Z450" i="8"/>
  <c r="Z449" i="8"/>
  <c r="U34" i="8"/>
  <c r="V34" i="8"/>
  <c r="W34" i="8"/>
  <c r="X34" i="8"/>
  <c r="T34" i="8"/>
  <c r="U33" i="8"/>
  <c r="U27" i="8" s="1"/>
  <c r="V33" i="8"/>
  <c r="V27" i="8" s="1"/>
  <c r="W33" i="8"/>
  <c r="W27" i="8" s="1"/>
  <c r="X33" i="8"/>
  <c r="X27" i="8" s="1"/>
  <c r="T33" i="8"/>
  <c r="T27" i="8" s="1"/>
  <c r="Z48" i="8"/>
  <c r="Z47" i="8"/>
  <c r="Z27" i="8" l="1"/>
  <c r="Z447" i="8"/>
  <c r="Z445" i="8"/>
  <c r="U142" i="8"/>
  <c r="Z446" i="8"/>
  <c r="U135" i="8" l="1"/>
  <c r="Y79" i="8"/>
  <c r="Y39" i="8" s="1"/>
  <c r="T79" i="8"/>
  <c r="T39" i="8" s="1"/>
  <c r="X79" i="8"/>
  <c r="X39" i="8" s="1"/>
  <c r="W79" i="8"/>
  <c r="W39" i="8" s="1"/>
  <c r="Z91" i="8"/>
  <c r="Z95" i="8"/>
  <c r="Z87" i="8"/>
  <c r="Z83" i="8"/>
  <c r="U509" i="8"/>
  <c r="V509" i="8"/>
  <c r="W509" i="8"/>
  <c r="X509" i="8"/>
  <c r="Y509" i="8"/>
  <c r="T509" i="8"/>
  <c r="V79" i="8" l="1"/>
  <c r="V39" i="8" s="1"/>
  <c r="Z520" i="8"/>
  <c r="U76" i="8"/>
  <c r="Y32" i="8"/>
  <c r="Z127" i="8"/>
  <c r="Z32" i="8" l="1"/>
  <c r="Z74" i="8"/>
  <c r="Z111" i="8"/>
  <c r="Z80" i="8"/>
  <c r="Z114" i="8"/>
  <c r="Z98" i="8"/>
  <c r="Z137" i="8"/>
  <c r="Z26" i="8"/>
  <c r="Z201" i="8"/>
  <c r="Z25" i="8"/>
  <c r="Z152" i="8"/>
  <c r="Z150" i="8"/>
  <c r="Z148" i="8"/>
  <c r="Z146" i="8"/>
  <c r="Z500" i="8"/>
  <c r="Z198" i="8"/>
  <c r="T104" i="8"/>
  <c r="T102" i="8" s="1"/>
  <c r="Z103" i="8"/>
  <c r="T59" i="8"/>
  <c r="Z59" i="8" s="1"/>
  <c r="Z70" i="8"/>
  <c r="Z151" i="8"/>
  <c r="Z66" i="8"/>
  <c r="T501" i="8"/>
  <c r="Z501" i="8" s="1"/>
  <c r="T503" i="8"/>
  <c r="Z503" i="8" s="1"/>
  <c r="Z499" i="8"/>
  <c r="Z472" i="8"/>
  <c r="T468" i="8"/>
  <c r="Z468" i="8" s="1"/>
  <c r="Z470" i="8"/>
  <c r="T442" i="8"/>
  <c r="Z442" i="8" s="1"/>
  <c r="Z92" i="8"/>
  <c r="Z84" i="8"/>
  <c r="Z88" i="8"/>
  <c r="Z105" i="8"/>
  <c r="T107" i="8"/>
  <c r="Z107" i="8" s="1"/>
  <c r="T72" i="8"/>
  <c r="Z72" i="8" s="1"/>
  <c r="Z61" i="8"/>
  <c r="Z63" i="8"/>
  <c r="Z45" i="8"/>
  <c r="T125" i="8"/>
  <c r="T147" i="8"/>
  <c r="Z147" i="8" s="1"/>
  <c r="V200" i="8"/>
  <c r="W200" i="8"/>
  <c r="X200" i="8"/>
  <c r="Y200" i="8"/>
  <c r="U200" i="8"/>
  <c r="Z517" i="8"/>
  <c r="Z516" i="8"/>
  <c r="Z515" i="8"/>
  <c r="Z514" i="8"/>
  <c r="Z513" i="8"/>
  <c r="Y512" i="8"/>
  <c r="Y510" i="8" s="1"/>
  <c r="X512" i="8"/>
  <c r="X510" i="8" s="1"/>
  <c r="W512" i="8"/>
  <c r="W510" i="8" s="1"/>
  <c r="V512" i="8"/>
  <c r="V510" i="8" s="1"/>
  <c r="U512" i="8"/>
  <c r="U510" i="8" s="1"/>
  <c r="T512" i="8"/>
  <c r="T510" i="8" s="1"/>
  <c r="Z511" i="8"/>
  <c r="Z510" i="8"/>
  <c r="Z507" i="8"/>
  <c r="Z506" i="8"/>
  <c r="Z505" i="8"/>
  <c r="Z504" i="8"/>
  <c r="Z502" i="8"/>
  <c r="Y498" i="8"/>
  <c r="Y463" i="8" s="1"/>
  <c r="X498" i="8"/>
  <c r="X463" i="8" s="1"/>
  <c r="W498" i="8"/>
  <c r="W463" i="8" s="1"/>
  <c r="V498" i="8"/>
  <c r="V463" i="8" s="1"/>
  <c r="U498" i="8"/>
  <c r="U463" i="8" s="1"/>
  <c r="Y497" i="8"/>
  <c r="X497" i="8"/>
  <c r="W497" i="8"/>
  <c r="V497" i="8"/>
  <c r="U497" i="8"/>
  <c r="Z494" i="8"/>
  <c r="Z30" i="8" s="1"/>
  <c r="Z493" i="8"/>
  <c r="Z492" i="8"/>
  <c r="Y491" i="8"/>
  <c r="X491" i="8"/>
  <c r="T491" i="8"/>
  <c r="Y490" i="8"/>
  <c r="X490" i="8"/>
  <c r="W490" i="8"/>
  <c r="V490" i="8"/>
  <c r="U490" i="8"/>
  <c r="T490" i="8"/>
  <c r="Z489" i="8"/>
  <c r="Y488" i="8"/>
  <c r="X488" i="8"/>
  <c r="T488" i="8"/>
  <c r="Y487" i="8"/>
  <c r="X487" i="8"/>
  <c r="W487" i="8"/>
  <c r="V487" i="8"/>
  <c r="U487" i="8"/>
  <c r="T487" i="8"/>
  <c r="Z486" i="8"/>
  <c r="Y485" i="8"/>
  <c r="X485" i="8"/>
  <c r="T485" i="8"/>
  <c r="Y484" i="8"/>
  <c r="X484" i="8"/>
  <c r="W484" i="8"/>
  <c r="V484" i="8"/>
  <c r="U484" i="8"/>
  <c r="T484" i="8"/>
  <c r="Z483" i="8"/>
  <c r="Y482" i="8"/>
  <c r="X482" i="8"/>
  <c r="T482" i="8"/>
  <c r="Y481" i="8"/>
  <c r="X481" i="8"/>
  <c r="W481" i="8"/>
  <c r="V481" i="8"/>
  <c r="U481" i="8"/>
  <c r="T481" i="8"/>
  <c r="Y480" i="8"/>
  <c r="Y462" i="8" s="1"/>
  <c r="X480" i="8"/>
  <c r="X462" i="8" s="1"/>
  <c r="W480" i="8"/>
  <c r="W462" i="8" s="1"/>
  <c r="V480" i="8"/>
  <c r="V462" i="8" s="1"/>
  <c r="U462" i="8"/>
  <c r="T480" i="8"/>
  <c r="T462" i="8" s="1"/>
  <c r="Z477" i="8"/>
  <c r="Z476" i="8"/>
  <c r="Z475" i="8"/>
  <c r="Z474" i="8"/>
  <c r="Z473" i="8"/>
  <c r="Z469" i="8"/>
  <c r="Z467" i="8"/>
  <c r="Y465" i="8"/>
  <c r="Y461" i="8" s="1"/>
  <c r="X465" i="8"/>
  <c r="X461" i="8" s="1"/>
  <c r="W465" i="8"/>
  <c r="W461" i="8" s="1"/>
  <c r="V465" i="8"/>
  <c r="V461" i="8" s="1"/>
  <c r="U465" i="8"/>
  <c r="U461" i="8" s="1"/>
  <c r="Y464" i="8"/>
  <c r="X464" i="8"/>
  <c r="W464" i="8"/>
  <c r="V464" i="8"/>
  <c r="U464" i="8"/>
  <c r="Z444" i="8"/>
  <c r="Z443" i="8"/>
  <c r="Z441" i="8"/>
  <c r="Z440" i="8"/>
  <c r="Z439" i="8"/>
  <c r="Z438" i="8"/>
  <c r="Z437" i="8"/>
  <c r="T436" i="8"/>
  <c r="Z436" i="8" s="1"/>
  <c r="Z435" i="8"/>
  <c r="Z434" i="8"/>
  <c r="Z433" i="8"/>
  <c r="Z432" i="8"/>
  <c r="Z431" i="8"/>
  <c r="T430" i="8"/>
  <c r="Z430" i="8" s="1"/>
  <c r="Z429" i="8"/>
  <c r="Z428" i="8"/>
  <c r="Z427" i="8"/>
  <c r="Z426" i="8"/>
  <c r="Z425" i="8"/>
  <c r="T424" i="8"/>
  <c r="Z424" i="8" s="1"/>
  <c r="Z423" i="8"/>
  <c r="Z422" i="8"/>
  <c r="Z421" i="8"/>
  <c r="Z420" i="8"/>
  <c r="Z419" i="8"/>
  <c r="T418" i="8"/>
  <c r="Z418" i="8" s="1"/>
  <c r="Z417" i="8"/>
  <c r="Z416" i="8"/>
  <c r="Z415" i="8"/>
  <c r="Z414" i="8"/>
  <c r="Z413" i="8"/>
  <c r="T412" i="8"/>
  <c r="Z412" i="8" s="1"/>
  <c r="Z411" i="8"/>
  <c r="Z410" i="8"/>
  <c r="Z409" i="8"/>
  <c r="Z408" i="8"/>
  <c r="T407" i="8"/>
  <c r="Z407" i="8" s="1"/>
  <c r="Z406" i="8"/>
  <c r="Z405" i="8"/>
  <c r="Z404" i="8"/>
  <c r="Z403" i="8"/>
  <c r="Z402" i="8"/>
  <c r="T401" i="8"/>
  <c r="Z401" i="8" s="1"/>
  <c r="Z400" i="8"/>
  <c r="Z399" i="8"/>
  <c r="Z398" i="8"/>
  <c r="Z397" i="8"/>
  <c r="Z396" i="8"/>
  <c r="T395" i="8"/>
  <c r="Z395" i="8" s="1"/>
  <c r="Z394" i="8"/>
  <c r="Z393" i="8"/>
  <c r="Z392" i="8"/>
  <c r="Z391" i="8"/>
  <c r="Z390" i="8"/>
  <c r="T389" i="8"/>
  <c r="Z389" i="8" s="1"/>
  <c r="Z388" i="8"/>
  <c r="Z387" i="8"/>
  <c r="Z386" i="8"/>
  <c r="Z385" i="8"/>
  <c r="Z384" i="8"/>
  <c r="T383" i="8"/>
  <c r="Z383" i="8" s="1"/>
  <c r="Z382" i="8"/>
  <c r="Z381" i="8"/>
  <c r="Z380" i="8"/>
  <c r="Z379" i="8"/>
  <c r="Z378" i="8"/>
  <c r="T377" i="8"/>
  <c r="Z377" i="8" s="1"/>
  <c r="Z376" i="8"/>
  <c r="Z375" i="8"/>
  <c r="Z374" i="8"/>
  <c r="Z373" i="8"/>
  <c r="T372" i="8"/>
  <c r="Z372" i="8" s="1"/>
  <c r="T371" i="8"/>
  <c r="Z371" i="8" s="1"/>
  <c r="Z369" i="8"/>
  <c r="Z368" i="8"/>
  <c r="Z367" i="8"/>
  <c r="Z366" i="8"/>
  <c r="Z365" i="8"/>
  <c r="Z364" i="8"/>
  <c r="T363" i="8"/>
  <c r="Z363" i="8" s="1"/>
  <c r="Z362" i="8"/>
  <c r="Z361" i="8"/>
  <c r="Z360" i="8"/>
  <c r="Z359" i="8"/>
  <c r="Z358" i="8"/>
  <c r="T357" i="8"/>
  <c r="Z357" i="8" s="1"/>
  <c r="Z356" i="8"/>
  <c r="Z355" i="8"/>
  <c r="Z354" i="8"/>
  <c r="Z353" i="8"/>
  <c r="Z352" i="8"/>
  <c r="T351" i="8"/>
  <c r="Z351" i="8" s="1"/>
  <c r="Z350" i="8"/>
  <c r="Z349" i="8"/>
  <c r="Z348" i="8"/>
  <c r="Z347" i="8"/>
  <c r="Z346" i="8"/>
  <c r="Z345" i="8"/>
  <c r="T344" i="8"/>
  <c r="Z344" i="8" s="1"/>
  <c r="Z343" i="8"/>
  <c r="Z342" i="8"/>
  <c r="Z341" i="8"/>
  <c r="Z340" i="8"/>
  <c r="Z339" i="8"/>
  <c r="Z338" i="8"/>
  <c r="T337" i="8"/>
  <c r="Z337" i="8" s="1"/>
  <c r="Z336" i="8"/>
  <c r="Z335" i="8"/>
  <c r="Z334" i="8"/>
  <c r="Z333" i="8"/>
  <c r="Z332" i="8"/>
  <c r="Z331" i="8"/>
  <c r="T330" i="8"/>
  <c r="Z330" i="8" s="1"/>
  <c r="Z329" i="8"/>
  <c r="Z328" i="8"/>
  <c r="Z327" i="8"/>
  <c r="Z326" i="8"/>
  <c r="Z325" i="8"/>
  <c r="Z324" i="8"/>
  <c r="T323" i="8"/>
  <c r="Z323" i="8" s="1"/>
  <c r="Z322" i="8"/>
  <c r="Z321" i="8"/>
  <c r="Z320" i="8"/>
  <c r="Z319" i="8"/>
  <c r="Z318" i="8"/>
  <c r="Z317" i="8"/>
  <c r="T316" i="8"/>
  <c r="Z316" i="8" s="1"/>
  <c r="Z315" i="8"/>
  <c r="Z314" i="8"/>
  <c r="Z313" i="8"/>
  <c r="Z312" i="8"/>
  <c r="Z311" i="8"/>
  <c r="Z310" i="8"/>
  <c r="T309" i="8"/>
  <c r="Z309" i="8" s="1"/>
  <c r="Z308" i="8"/>
  <c r="Z307" i="8"/>
  <c r="Z306" i="8"/>
  <c r="Z305" i="8"/>
  <c r="Z304" i="8"/>
  <c r="Z303" i="8"/>
  <c r="T302" i="8"/>
  <c r="Z302" i="8" s="1"/>
  <c r="Z301" i="8"/>
  <c r="Z300" i="8"/>
  <c r="Z299" i="8"/>
  <c r="Z298" i="8"/>
  <c r="Z297" i="8"/>
  <c r="Z296" i="8"/>
  <c r="T295" i="8"/>
  <c r="Z295" i="8" s="1"/>
  <c r="Z294" i="8"/>
  <c r="Z293" i="8"/>
  <c r="Z292" i="8"/>
  <c r="Z291" i="8"/>
  <c r="Z290" i="8"/>
  <c r="T289" i="8"/>
  <c r="Z289" i="8" s="1"/>
  <c r="Z288" i="8"/>
  <c r="Z287" i="8"/>
  <c r="Z286" i="8"/>
  <c r="T285" i="8"/>
  <c r="Z285" i="8" s="1"/>
  <c r="Z284" i="8"/>
  <c r="T283" i="8"/>
  <c r="Z281" i="8"/>
  <c r="Z280" i="8"/>
  <c r="Z279" i="8"/>
  <c r="Z278" i="8"/>
  <c r="T277" i="8"/>
  <c r="Z277" i="8" s="1"/>
  <c r="Z276" i="8"/>
  <c r="Z275" i="8"/>
  <c r="Z274" i="8"/>
  <c r="Z273" i="8"/>
  <c r="T272" i="8"/>
  <c r="Z272" i="8" s="1"/>
  <c r="Z271" i="8"/>
  <c r="Z270" i="8"/>
  <c r="Z269" i="8"/>
  <c r="Z268" i="8"/>
  <c r="T267" i="8"/>
  <c r="Z266" i="8"/>
  <c r="Z265" i="8"/>
  <c r="Z264" i="8"/>
  <c r="Z263" i="8"/>
  <c r="T262" i="8"/>
  <c r="Z262" i="8" s="1"/>
  <c r="Z261" i="8"/>
  <c r="Z260" i="8"/>
  <c r="Z259" i="8"/>
  <c r="Z258" i="8"/>
  <c r="T257" i="8"/>
  <c r="Z257" i="8" s="1"/>
  <c r="Z256" i="8"/>
  <c r="Z255" i="8"/>
  <c r="Z254" i="8"/>
  <c r="Z253" i="8"/>
  <c r="Z252" i="8"/>
  <c r="T251" i="8"/>
  <c r="Z251" i="8" s="1"/>
  <c r="Z250" i="8"/>
  <c r="Z249" i="8"/>
  <c r="Z248" i="8"/>
  <c r="T247" i="8"/>
  <c r="Z247" i="8" s="1"/>
  <c r="Z246" i="8"/>
  <c r="T245" i="8"/>
  <c r="Z243" i="8"/>
  <c r="Z242" i="8"/>
  <c r="Z241" i="8"/>
  <c r="Z240" i="8"/>
  <c r="Z239" i="8"/>
  <c r="T238" i="8"/>
  <c r="Z238" i="8" s="1"/>
  <c r="Z237" i="8"/>
  <c r="Z236" i="8"/>
  <c r="Z235" i="8"/>
  <c r="Z234" i="8"/>
  <c r="Z233" i="8"/>
  <c r="Z232" i="8"/>
  <c r="T231" i="8"/>
  <c r="Z231" i="8" s="1"/>
  <c r="Z230" i="8"/>
  <c r="Z229" i="8"/>
  <c r="Z228" i="8"/>
  <c r="Z227" i="8"/>
  <c r="Z226" i="8"/>
  <c r="T225" i="8"/>
  <c r="Z225" i="8" s="1"/>
  <c r="Z224" i="8"/>
  <c r="Z223" i="8"/>
  <c r="Z222" i="8"/>
  <c r="Z221" i="8"/>
  <c r="Z220" i="8"/>
  <c r="T219" i="8"/>
  <c r="Z219" i="8" s="1"/>
  <c r="Z218" i="8"/>
  <c r="Z217" i="8"/>
  <c r="Z216" i="8"/>
  <c r="Z215" i="8"/>
  <c r="T214" i="8"/>
  <c r="Z214" i="8" s="1"/>
  <c r="Z213" i="8"/>
  <c r="AC212" i="8"/>
  <c r="Z212" i="8"/>
  <c r="AC211" i="8"/>
  <c r="Z211" i="8"/>
  <c r="AC210" i="8"/>
  <c r="Z210" i="8"/>
  <c r="AC209" i="8"/>
  <c r="T209" i="8"/>
  <c r="Z209" i="8" s="1"/>
  <c r="Z208" i="8"/>
  <c r="Z207" i="8"/>
  <c r="Z206" i="8"/>
  <c r="Z205" i="8"/>
  <c r="T204" i="8"/>
  <c r="Z204" i="8" s="1"/>
  <c r="T203" i="8"/>
  <c r="Y135" i="8"/>
  <c r="X135" i="8"/>
  <c r="W135" i="8"/>
  <c r="V135" i="8"/>
  <c r="T135" i="8"/>
  <c r="W136" i="8"/>
  <c r="U136" i="8"/>
  <c r="Y159" i="8"/>
  <c r="X159" i="8"/>
  <c r="W159" i="8"/>
  <c r="V159" i="8"/>
  <c r="U159" i="8"/>
  <c r="Y158" i="8"/>
  <c r="X158" i="8"/>
  <c r="W158" i="8"/>
  <c r="V158" i="8"/>
  <c r="U158" i="8"/>
  <c r="Z154" i="8"/>
  <c r="Z459" i="8"/>
  <c r="Z458" i="8"/>
  <c r="Z455" i="8"/>
  <c r="Z149" i="8"/>
  <c r="Z145" i="8"/>
  <c r="Y143" i="8"/>
  <c r="X143" i="8"/>
  <c r="W143" i="8"/>
  <c r="V143" i="8"/>
  <c r="U143" i="8"/>
  <c r="Z126" i="8"/>
  <c r="Y125" i="8"/>
  <c r="W125" i="8"/>
  <c r="V125" i="8"/>
  <c r="U125" i="8"/>
  <c r="Z123" i="8"/>
  <c r="T122" i="8"/>
  <c r="Z122" i="8" s="1"/>
  <c r="Z121" i="8"/>
  <c r="Z119" i="8"/>
  <c r="Z118" i="8"/>
  <c r="Z117" i="8"/>
  <c r="Z113" i="8"/>
  <c r="Z110" i="8"/>
  <c r="Z109" i="8"/>
  <c r="Z108" i="8"/>
  <c r="Z106" i="8"/>
  <c r="Y102" i="8"/>
  <c r="X102" i="8"/>
  <c r="W102" i="8"/>
  <c r="V102" i="8"/>
  <c r="U102" i="8"/>
  <c r="Y101" i="8"/>
  <c r="X101" i="8"/>
  <c r="W101" i="8"/>
  <c r="V101" i="8"/>
  <c r="U101" i="8"/>
  <c r="Z93" i="8"/>
  <c r="Z89" i="8"/>
  <c r="Z85" i="8"/>
  <c r="Z81" i="8"/>
  <c r="Y78" i="8"/>
  <c r="X78" i="8"/>
  <c r="W78" i="8"/>
  <c r="V78" i="8"/>
  <c r="U78" i="8"/>
  <c r="T78" i="8"/>
  <c r="Y77" i="8"/>
  <c r="X77" i="8"/>
  <c r="W77" i="8"/>
  <c r="V77" i="8"/>
  <c r="U77" i="8"/>
  <c r="T77" i="8"/>
  <c r="Y76" i="8"/>
  <c r="X76" i="8"/>
  <c r="W76" i="8"/>
  <c r="V76" i="8"/>
  <c r="Y69" i="8"/>
  <c r="Y38" i="8" s="1"/>
  <c r="X69" i="8"/>
  <c r="X38" i="8" s="1"/>
  <c r="W69" i="8"/>
  <c r="W38" i="8" s="1"/>
  <c r="V69" i="8"/>
  <c r="V38" i="8" s="1"/>
  <c r="U69" i="8"/>
  <c r="U38" i="8" s="1"/>
  <c r="T69" i="8"/>
  <c r="T38" i="8" s="1"/>
  <c r="Y68" i="8"/>
  <c r="X68" i="8"/>
  <c r="W68" i="8"/>
  <c r="V68" i="8"/>
  <c r="U68" i="8"/>
  <c r="Z65" i="8"/>
  <c r="Y58" i="8"/>
  <c r="Y37" i="8" s="1"/>
  <c r="X58" i="8"/>
  <c r="X37" i="8" s="1"/>
  <c r="W58" i="8"/>
  <c r="W37" i="8" s="1"/>
  <c r="V58" i="8"/>
  <c r="V37" i="8" s="1"/>
  <c r="U58" i="8"/>
  <c r="U37" i="8" s="1"/>
  <c r="T58" i="8"/>
  <c r="T37" i="8" s="1"/>
  <c r="Y57" i="8"/>
  <c r="X57" i="8"/>
  <c r="W57" i="8"/>
  <c r="V57" i="8"/>
  <c r="U57" i="8"/>
  <c r="Z54" i="8"/>
  <c r="Z53" i="8"/>
  <c r="Z52" i="8"/>
  <c r="Y51" i="8"/>
  <c r="X51" i="8"/>
  <c r="W51" i="8"/>
  <c r="V51" i="8"/>
  <c r="U51" i="8"/>
  <c r="Z50" i="8"/>
  <c r="Z129" i="8"/>
  <c r="Z128" i="8"/>
  <c r="Z44" i="8"/>
  <c r="Z43" i="8"/>
  <c r="Y42" i="8"/>
  <c r="X42" i="8"/>
  <c r="W42" i="8"/>
  <c r="V42" i="8"/>
  <c r="U42" i="8"/>
  <c r="Z41" i="8"/>
  <c r="Y36" i="8"/>
  <c r="X36" i="8"/>
  <c r="W36" i="8"/>
  <c r="V36" i="8"/>
  <c r="U36" i="8"/>
  <c r="T36" i="8"/>
  <c r="Y34" i="8"/>
  <c r="Y33" i="8"/>
  <c r="Y30" i="8"/>
  <c r="X30" i="8"/>
  <c r="W30" i="8"/>
  <c r="V30" i="8"/>
  <c r="U30" i="8"/>
  <c r="T30" i="8"/>
  <c r="Z29" i="8"/>
  <c r="Z28" i="8"/>
  <c r="T23" i="8"/>
  <c r="U23" i="8" s="1"/>
  <c r="V23" i="8" s="1"/>
  <c r="W23" i="8" s="1"/>
  <c r="X23" i="8" s="1"/>
  <c r="Y23" i="8" s="1"/>
  <c r="T22" i="8"/>
  <c r="U22" i="8" s="1"/>
  <c r="V22" i="8" s="1"/>
  <c r="W22" i="8" s="1"/>
  <c r="X22" i="8" s="1"/>
  <c r="Y22" i="8" s="1"/>
  <c r="T21" i="8"/>
  <c r="U21" i="8" s="1"/>
  <c r="V21" i="8" s="1"/>
  <c r="T20" i="8"/>
  <c r="U20" i="8" s="1"/>
  <c r="V20" i="8" s="1"/>
  <c r="W20" i="8" s="1"/>
  <c r="X20" i="8" s="1"/>
  <c r="Y20" i="8" s="1"/>
  <c r="T19" i="8"/>
  <c r="U19" i="8" s="1"/>
  <c r="V19" i="8" s="1"/>
  <c r="W19" i="8" s="1"/>
  <c r="X19" i="8" s="1"/>
  <c r="Y19" i="8" s="1"/>
  <c r="T18" i="8"/>
  <c r="U18" i="8" s="1"/>
  <c r="V18" i="8" s="1"/>
  <c r="T17" i="8"/>
  <c r="U17" i="8" s="1"/>
  <c r="V17" i="8" s="1"/>
  <c r="W17" i="8" s="1"/>
  <c r="X17" i="8" s="1"/>
  <c r="Y17" i="8" s="1"/>
  <c r="T16" i="8"/>
  <c r="U16" i="8" s="1"/>
  <c r="X31" i="8" l="1"/>
  <c r="W31" i="8"/>
  <c r="V31" i="8"/>
  <c r="U31" i="8"/>
  <c r="Y31" i="8"/>
  <c r="Z245" i="8"/>
  <c r="T244" i="8"/>
  <c r="Z244" i="8" s="1"/>
  <c r="Z283" i="8"/>
  <c r="T282" i="8"/>
  <c r="U133" i="8"/>
  <c r="Y133" i="8"/>
  <c r="Z203" i="8"/>
  <c r="T202" i="8"/>
  <c r="U479" i="8"/>
  <c r="U460" i="8" s="1"/>
  <c r="V136" i="8"/>
  <c r="T136" i="8"/>
  <c r="V133" i="8"/>
  <c r="X136" i="8"/>
  <c r="W133" i="8"/>
  <c r="Y136" i="8"/>
  <c r="X133" i="8"/>
  <c r="T498" i="8"/>
  <c r="Z498" i="8" s="1"/>
  <c r="Z104" i="8"/>
  <c r="Z134" i="8"/>
  <c r="Z33" i="8"/>
  <c r="Z36" i="8"/>
  <c r="T478" i="8"/>
  <c r="X479" i="8"/>
  <c r="X460" i="8" s="1"/>
  <c r="Z484" i="8"/>
  <c r="Z485" i="8"/>
  <c r="Z490" i="8"/>
  <c r="Z200" i="8"/>
  <c r="V478" i="8"/>
  <c r="Z482" i="8"/>
  <c r="Y478" i="8"/>
  <c r="Z491" i="8"/>
  <c r="Z509" i="8"/>
  <c r="Z125" i="8"/>
  <c r="Z162" i="8"/>
  <c r="Z202" i="8"/>
  <c r="Z481" i="8"/>
  <c r="Z487" i="8"/>
  <c r="X478" i="8"/>
  <c r="T497" i="8"/>
  <c r="Z102" i="8"/>
  <c r="Z282" i="8"/>
  <c r="W478" i="8"/>
  <c r="T68" i="8"/>
  <c r="T479" i="8"/>
  <c r="Z51" i="8"/>
  <c r="U478" i="8"/>
  <c r="T159" i="8"/>
  <c r="Z159" i="8" s="1"/>
  <c r="T101" i="8"/>
  <c r="Z101" i="8" s="1"/>
  <c r="AC213" i="8"/>
  <c r="Z267" i="8"/>
  <c r="T370" i="8"/>
  <c r="Z370" i="8" s="1"/>
  <c r="Z480" i="8"/>
  <c r="Z462" i="8" s="1"/>
  <c r="V479" i="8"/>
  <c r="V460" i="8" s="1"/>
  <c r="T143" i="8"/>
  <c r="Z143" i="8" s="1"/>
  <c r="Z497" i="8"/>
  <c r="Z34" i="8"/>
  <c r="Z39" i="8"/>
  <c r="Z77" i="8"/>
  <c r="T158" i="8"/>
  <c r="Z158" i="8" s="1"/>
  <c r="Y479" i="8"/>
  <c r="Y460" i="8" s="1"/>
  <c r="W479" i="8"/>
  <c r="W460" i="8" s="1"/>
  <c r="T76" i="8"/>
  <c r="Z76" i="8" s="1"/>
  <c r="Z156" i="8"/>
  <c r="Z488" i="8"/>
  <c r="T57" i="8"/>
  <c r="Z57" i="8" s="1"/>
  <c r="Z79" i="8"/>
  <c r="T465" i="8"/>
  <c r="Z471" i="8"/>
  <c r="Z46" i="8"/>
  <c r="T42" i="8"/>
  <c r="T464" i="8"/>
  <c r="Z466" i="8"/>
  <c r="W18" i="8"/>
  <c r="X18" i="8" s="1"/>
  <c r="Y18" i="8" s="1"/>
  <c r="V16" i="8"/>
  <c r="W16" i="8" s="1"/>
  <c r="X16" i="8" s="1"/>
  <c r="Y16" i="8" s="1"/>
  <c r="W21" i="8"/>
  <c r="X21" i="8" s="1"/>
  <c r="Y21" i="8" s="1"/>
  <c r="Z17" i="8"/>
  <c r="Z20" i="8"/>
  <c r="Z23" i="8"/>
  <c r="Z19" i="8"/>
  <c r="Z22" i="8"/>
  <c r="Z160" i="8"/>
  <c r="Z479" i="8" l="1"/>
  <c r="Z68" i="8"/>
  <c r="T31" i="8"/>
  <c r="T463" i="8"/>
  <c r="Z463" i="8" s="1"/>
  <c r="X15" i="8"/>
  <c r="W15" i="8"/>
  <c r="U15" i="8"/>
  <c r="V15" i="8"/>
  <c r="Y15" i="8"/>
  <c r="Z136" i="8"/>
  <c r="T199" i="8"/>
  <c r="Z199" i="8" s="1"/>
  <c r="Z478" i="8"/>
  <c r="T460" i="8"/>
  <c r="Z460" i="8" s="1"/>
  <c r="Z464" i="8"/>
  <c r="T461" i="8"/>
  <c r="Z461" i="8" s="1"/>
  <c r="Z465" i="8"/>
  <c r="Z142" i="8"/>
  <c r="Z42" i="8"/>
  <c r="Z135" i="8"/>
  <c r="Z18" i="8"/>
  <c r="Z21" i="8"/>
  <c r="Z16" i="8"/>
  <c r="T133" i="8" l="1"/>
  <c r="Z133" i="8" s="1"/>
  <c r="Z31" i="8"/>
  <c r="T15" i="8" l="1"/>
  <c r="Z15" i="8" s="1"/>
</calcChain>
</file>

<file path=xl/sharedStrings.xml><?xml version="1.0" encoding="utf-8"?>
<sst xmlns="http://schemas.openxmlformats.org/spreadsheetml/2006/main" count="5029" uniqueCount="348">
  <si>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</si>
  <si>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</si>
  <si>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</si>
  <si>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</si>
  <si>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</si>
  <si>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</si>
  <si>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</si>
  <si>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</si>
  <si>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</si>
  <si>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</si>
  <si>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ед.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</si>
  <si>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</si>
  <si>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</si>
  <si>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</si>
  <si>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</si>
  <si>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</si>
  <si>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</si>
  <si>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</si>
  <si>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</si>
  <si>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</si>
  <si>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</si>
  <si>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</si>
  <si>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</si>
  <si>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</si>
  <si>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</si>
  <si>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</si>
  <si>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</si>
  <si>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</si>
  <si>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</si>
  <si>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</si>
  <si>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</si>
  <si>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</si>
  <si>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</si>
  <si>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</si>
  <si>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</si>
  <si>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</si>
  <si>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</si>
  <si>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</si>
  <si>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</si>
  <si>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</si>
  <si>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</si>
  <si>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</si>
  <si>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</si>
  <si>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</si>
  <si>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</si>
  <si>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</si>
  <si>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</si>
  <si>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</si>
  <si>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</si>
  <si>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</si>
  <si>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на 2018 - 2023 годы</t>
  </si>
  <si>
    <t>да - 1
нет - 0</t>
  </si>
  <si>
    <t>штук</t>
  </si>
  <si>
    <t>Показатель 1</t>
  </si>
  <si>
    <t>«Формирование современной городской среды» на 2018-2023 годы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</si>
  <si>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</si>
  <si>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</si>
  <si>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</si>
  <si>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</si>
  <si>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</si>
  <si>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</si>
  <si>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«Приложение 1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</si>
  <si>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</si>
  <si>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</si>
  <si>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rPr>
        <sz val="12"/>
        <rFont val="Times New Roman"/>
        <family val="1"/>
        <charset val="204"/>
      </rPr>
      <t>Всего по программе</t>
    </r>
    <r>
      <rPr>
        <b/>
        <sz val="12"/>
        <rFont val="Times New Roman"/>
        <family val="1"/>
        <charset val="204"/>
      </rPr>
      <t xml:space="preserve"> "Благоустройство магистральных дорог города Твери, обеспечение наружного освещения и санитарной очистки города" на 2014-2019 года (без учета обеспечивающей программы)</t>
    </r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</si>
  <si>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</si>
  <si>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</si>
  <si>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</si>
  <si>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</si>
  <si>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</si>
  <si>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</si>
  <si>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                                       
</t>
    </r>
    <r>
      <rPr>
        <sz val="12"/>
        <rFont val="Times New Roman"/>
        <family val="1"/>
        <charset val="204"/>
      </rPr>
      <t>«Количество приобретенной специализированной коммунальной техники»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</si>
  <si>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</si>
  <si>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</si>
  <si>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</si>
  <si>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</si>
  <si>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</si>
  <si>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</si>
  <si>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 и рекламных конструкций на территории города»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</si>
  <si>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</si>
  <si>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</si>
  <si>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</si>
  <si>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</si>
  <si>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</si>
  <si>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</si>
  <si>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</si>
  <si>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</si>
  <si>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</si>
  <si>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</si>
  <si>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</si>
  <si>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</si>
  <si>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</si>
  <si>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</si>
  <si>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</si>
  <si>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</si>
  <si>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</si>
  <si>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</si>
  <si>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</si>
  <si>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</si>
  <si>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</si>
  <si>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</si>
  <si>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</si>
  <si>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</si>
  <si>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</si>
  <si>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</si>
  <si>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</si>
  <si>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</si>
  <si>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</si>
  <si>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</si>
  <si>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</si>
  <si>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</si>
  <si>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</si>
  <si>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</si>
  <si>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</si>
  <si>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</si>
  <si>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</si>
  <si>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</si>
  <si>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</si>
  <si>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</si>
  <si>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</si>
  <si>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</si>
  <si>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</si>
  <si>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</si>
  <si>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</si>
  <si>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</si>
  <si>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</si>
  <si>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</si>
  <si>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</si>
  <si>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</si>
  <si>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</si>
  <si>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</si>
  <si>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</si>
  <si>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</si>
  <si>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</si>
  <si>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</si>
  <si>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</si>
  <si>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</si>
  <si>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</si>
  <si>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</si>
  <si>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</si>
  <si>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</si>
  <si>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</si>
  <si>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</si>
  <si>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</si>
  <si>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</si>
  <si>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</si>
  <si>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</si>
  <si>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</si>
  <si>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</si>
  <si>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</si>
  <si>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</si>
  <si>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</si>
  <si>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</si>
  <si>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</si>
  <si>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</si>
  <si>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</si>
  <si>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</si>
  <si>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</si>
  <si>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</si>
  <si>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</si>
  <si>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</si>
  <si>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</si>
  <si>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2.01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</si>
  <si>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</si>
  <si>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</si>
  <si>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</si>
  <si>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</si>
  <si>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</si>
  <si>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</si>
  <si>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</si>
  <si>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</si>
  <si>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</si>
  <si>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</si>
  <si>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</si>
  <si>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</si>
  <si>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</si>
  <si>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</si>
  <si>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</si>
  <si>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</si>
  <si>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</si>
  <si>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</si>
  <si>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</si>
  <si>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Мероприятие 2.06                                                       </t>
    </r>
    <r>
      <rPr>
        <sz val="12"/>
        <rFont val="Times New Roman"/>
        <family val="1"/>
        <charset val="204"/>
      </rPr>
      <t>«Приют для бездомных животных (в т.ч. ПИР)»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</si>
  <si>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</si>
  <si>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</si>
  <si>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</si>
  <si>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</si>
  <si>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</si>
  <si>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</si>
  <si>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</si>
  <si>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</si>
  <si>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</si>
  <si>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</si>
  <si>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</si>
  <si>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</si>
  <si>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</si>
  <si>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</si>
  <si>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</si>
  <si>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</si>
  <si>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Начальник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                  С.В. Романов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</si>
  <si>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</si>
  <si>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</si>
  <si>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</si>
  <si>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</si>
  <si>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</si>
  <si>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</si>
  <si>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</si>
  <si>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5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</si>
  <si>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6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</si>
  <si>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</si>
  <si>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</si>
  <si>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</si>
  <si>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</si>
  <si>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</si>
  <si>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</si>
  <si>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</si>
  <si>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</si>
  <si>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</si>
  <si>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</si>
  <si>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</si>
  <si>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</si>
  <si>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</si>
  <si>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</si>
  <si>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</si>
  <si>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</si>
  <si>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</si>
  <si>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</si>
  <si>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</si>
  <si>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</si>
  <si>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</si>
  <si>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</si>
  <si>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</si>
  <si>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</si>
  <si>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</si>
  <si>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</si>
  <si>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</si>
  <si>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</si>
  <si>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</si>
  <si>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</si>
  <si>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</si>
  <si>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</si>
  <si>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</si>
  <si>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</si>
  <si>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</si>
  <si>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</si>
  <si>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</si>
  <si>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</si>
  <si>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</si>
  <si>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</si>
  <si>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</si>
  <si>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</si>
  <si>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</si>
  <si>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</si>
  <si>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</si>
  <si>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</si>
  <si>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</si>
  <si>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</si>
  <si>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</si>
  <si>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</si>
  <si>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</si>
  <si>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</si>
  <si>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</si>
  <si>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</si>
  <si>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</si>
  <si>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</si>
  <si>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</si>
  <si>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</si>
  <si>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</si>
  <si>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2.07.4.1</t>
    </r>
    <r>
      <rPr>
        <sz val="12"/>
        <rFont val="Times New Roman"/>
        <family val="1"/>
        <charset val="204"/>
      </rPr>
      <t xml:space="preserve">
«Благоустройство территории жилого комплекса «Затьмацкий посад» по адресу: г. Тверь, пер. Трудолюбия, дом №4 корп.2 и корп.3»</t>
    </r>
  </si>
  <si>
    <r>
      <rPr>
        <b/>
        <sz val="12"/>
        <rFont val="Times New Roman"/>
        <family val="1"/>
        <charset val="204"/>
      </rPr>
      <t xml:space="preserve">Показатель 36 </t>
    </r>
    <r>
      <rPr>
        <sz val="12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</si>
  <si>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2.07.4.2</t>
    </r>
    <r>
      <rPr>
        <sz val="12"/>
        <rFont val="Times New Roman"/>
        <family val="1"/>
        <charset val="204"/>
      </rPr>
      <t xml:space="preserve">
«Устройство ограждения территории жилых домов № 45, 45 корп.1 по пер. Трудолюбия в г. Твери»</t>
    </r>
  </si>
  <si>
    <r>
      <rPr>
        <b/>
        <sz val="12"/>
        <rFont val="Times New Roman"/>
        <family val="1"/>
        <charset val="204"/>
      </rPr>
      <t>Показатель 37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</si>
  <si>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2.07.4.3</t>
    </r>
    <r>
      <rPr>
        <sz val="12"/>
        <rFont val="Times New Roman"/>
        <family val="1"/>
        <charset val="204"/>
      </rPr>
      <t xml:space="preserve">
«Монтаж системы видеонаблюдения периметра территории ТСЖ «Коробкова, д.1» расположенном по адресу: г.Тверь, ул. Коробкова, д.1»</t>
    </r>
  </si>
  <si>
    <r>
      <rPr>
        <b/>
        <sz val="12"/>
        <rFont val="Times New Roman"/>
        <family val="1"/>
        <charset val="204"/>
      </rPr>
      <t>Показатель 38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</si>
  <si>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2.07.4.4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ул.Коробкова, д.1»</t>
    </r>
  </si>
  <si>
    <r>
      <rPr>
        <b/>
        <sz val="12"/>
        <rFont val="Times New Roman"/>
        <family val="1"/>
        <charset val="204"/>
      </rPr>
      <t xml:space="preserve">Показатель 39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</si>
  <si>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2.07.4.5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ул.Коробкова, д.2»</t>
    </r>
  </si>
  <si>
    <r>
      <rPr>
        <b/>
        <sz val="12"/>
        <rFont val="Times New Roman"/>
        <family val="1"/>
        <charset val="204"/>
      </rPr>
      <t xml:space="preserve">Показатель 40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</si>
  <si>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2.07.4.6</t>
    </r>
    <r>
      <rPr>
        <sz val="12"/>
        <rFont val="Times New Roman"/>
        <family val="1"/>
        <charset val="204"/>
      </rPr>
      <t xml:space="preserve">
«Обустройство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Тверь»</t>
    </r>
  </si>
  <si>
    <r>
      <rPr>
        <b/>
        <sz val="12"/>
        <rFont val="Times New Roman"/>
        <family val="1"/>
        <charset val="204"/>
      </rPr>
      <t xml:space="preserve">Показатель 41 </t>
    </r>
    <r>
      <rPr>
        <sz val="12"/>
        <rFont val="Times New Roman"/>
        <family val="1"/>
        <charset val="204"/>
      </rPr>
      <t xml:space="preserve">
«Площадь асфальтирования площадки для временного размещения легкового автотранспорта» </t>
    </r>
  </si>
  <si>
    <r>
      <rPr>
        <b/>
        <sz val="12"/>
        <rFont val="Times New Roman"/>
        <family val="1"/>
        <charset val="204"/>
      </rPr>
      <t>Мероприятие 2.07.4.7</t>
    </r>
    <r>
      <rPr>
        <sz val="12"/>
        <rFont val="Times New Roman"/>
        <family val="1"/>
        <charset val="204"/>
      </rPr>
      <t xml:space="preserve">
«Благоустройство территории по адресу: г. Тверь, Смоленский пер., д.7»</t>
    </r>
  </si>
  <si>
    <r>
      <rPr>
        <b/>
        <sz val="12"/>
        <rFont val="Times New Roman"/>
        <family val="1"/>
        <charset val="204"/>
      </rPr>
      <t xml:space="preserve">Показатель 42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</si>
  <si>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2.07.4.8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 Симеоновская, д. 30»</t>
    </r>
  </si>
  <si>
    <r>
      <rPr>
        <b/>
        <sz val="12"/>
        <rFont val="Times New Roman"/>
        <family val="1"/>
        <charset val="204"/>
      </rPr>
      <t xml:space="preserve">Показатель 43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</si>
  <si>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2.07.4.9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город Тверь, Свободный переулок, дом 30»</t>
    </r>
  </si>
  <si>
    <r>
      <rPr>
        <b/>
        <sz val="11"/>
        <rFont val="Times New Roman"/>
        <family val="1"/>
        <charset val="204"/>
      </rPr>
      <t>Показатель 44</t>
    </r>
    <r>
      <rPr>
        <sz val="11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</si>
  <si>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2.07.4.10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Свободный переулок, д.43/18 в Центральном районе города Твери»</t>
    </r>
  </si>
  <si>
    <r>
      <rPr>
        <b/>
        <sz val="12"/>
        <rFont val="Times New Roman"/>
        <family val="1"/>
        <charset val="204"/>
      </rPr>
      <t>Показатель 45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</si>
  <si>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>Мероприятие 2.07.4.11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Тверской проспект дом 9 в г. Твери»</t>
    </r>
  </si>
  <si>
    <r>
      <rPr>
        <b/>
        <sz val="12"/>
        <rFont val="Times New Roman"/>
        <family val="1"/>
        <charset val="204"/>
      </rPr>
      <t>Показатель 46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</si>
  <si>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</si>
  <si>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</si>
  <si>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</si>
  <si>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</si>
  <si>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</si>
  <si>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t>Задача 1
«Благоустройство территорий общего пользования» 
(в рамках реализации федерального проекта «Формирование комфортной городской среды»)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</si>
  <si>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</si>
  <si>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t>Задача 2 
«Благоустройство дворовых территорий» 
(в рамках реализации федерального проекта «Формирование комфортной городской среды»)</t>
  </si>
  <si>
    <r>
      <t xml:space="preserve">Мероприятие 4.03
</t>
    </r>
    <r>
      <rPr>
        <sz val="12"/>
        <rFont val="Times New Roman"/>
        <family val="1"/>
        <charset val="204"/>
      </rPr>
      <t>«Кладбище «Заволжское»»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</si>
  <si>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</si>
  <si>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</si>
  <si>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</si>
  <si>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</si>
  <si>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</si>
  <si>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</si>
  <si>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</si>
  <si>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</si>
  <si>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</si>
  <si>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</si>
  <si>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</si>
  <si>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</si>
  <si>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</si>
  <si>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</si>
  <si>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</si>
  <si>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</si>
  <si>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</si>
  <si>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
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</si>
  <si>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</si>
  <si>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</si>
  <si>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</si>
  <si>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</si>
  <si>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</si>
  <si>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</si>
  <si>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</si>
  <si>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</si>
  <si>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
(комплексное благоустройство дворовых территорий) </t>
    </r>
  </si>
  <si>
    <t>Показатель 1 
«Степень выполнения мероприятия»</t>
  </si>
  <si>
    <t>п.м</t>
  </si>
  <si>
    <t>Показатель 2 
«Протяженность построенного мостового сооружения»</t>
  </si>
  <si>
    <r>
      <rPr>
        <b/>
        <sz val="12"/>
        <rFont val="Times New Roman"/>
        <family val="1"/>
        <charset val="204"/>
      </rPr>
      <t>Мероприятие 1.14</t>
    </r>
    <r>
      <rPr>
        <sz val="12"/>
        <rFont val="Times New Roman"/>
        <family val="1"/>
        <charset val="204"/>
      </rPr>
      <t xml:space="preserve">
«Пешеходный мост через р.Тьмака в г.Твери Тверской области»</t>
    </r>
  </si>
  <si>
    <r>
      <rPr>
        <b/>
        <sz val="12"/>
        <rFont val="Times New Roman"/>
        <family val="1"/>
        <charset val="204"/>
      </rPr>
      <t xml:space="preserve">Мероприятие 3.03   </t>
    </r>
    <r>
      <rPr>
        <sz val="12"/>
        <rFont val="Times New Roman"/>
        <family val="1"/>
        <charset val="204"/>
      </rPr>
      <t xml:space="preserve">                             
«Предупреждение и ликвидация болезней животных»</t>
    </r>
  </si>
  <si>
    <t>дней</t>
  </si>
  <si>
    <t>Показатель 6
«Количество рабочих смен по организации работ по отлову безнадзорных животных»</t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</si>
  <si>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</si>
  <si>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Пролетарского района» 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</si>
  <si>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</si>
  <si>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ремонту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</si>
  <si>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</si>
  <si>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</si>
  <si>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</si>
  <si>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6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</si>
  <si>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</si>
  <si>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</si>
  <si>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</si>
  <si>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</si>
  <si>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</si>
  <si>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</si>
  <si>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t>Приложение 
к постановлению Администрации города Твери
от «20» мая  2019 № 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</si>
</sst>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49" fontId="2" fillId="0" borderId="8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8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8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8" xfId="0" applyNumberFormat="1" applyFont="1" applyFill="1" applyBorder="1" applyAlignment="1">
      <alignment vertical="center" wrapText="1"/>
    </xf>
    <xf numFmtId="4" fontId="1" fillId="4" borderId="8" xfId="0" applyNumberFormat="1" applyFont="1" applyFill="1" applyBorder="1" applyAlignment="1">
      <alignment vertical="center" wrapText="1"/>
    </xf>
    <xf numFmtId="49" fontId="2" fillId="4" borderId="8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8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24"/>
  <sheetViews>
    <sheetView tabSelected="1" view="pageBreakPreview" zoomScale="70" zoomScaleNormal="90" zoomScaleSheetLayoutView="70" zoomScalePageLayoutView="62" workbookViewId="0">
      <selection sqref="A1:AA1"/>
    </sheetView>
  </sheetViews>
  <sheetFormatPr defaultColWidth="8.5703125" defaultRowHeight="15.75" x14ac:dyDescent="0.25"/>
  <cols>
    <col min="1" max="9" width="2.7109375" style="8" customWidth="1"/>
    <col min="10" max="17" width="3.140625" style="8" customWidth="1"/>
    <col min="18" max="18" width="54.140625" style="7" customWidth="1"/>
    <col min="19" max="19" width="10.85546875" style="7" customWidth="1"/>
    <col min="20" max="21" width="11.42578125" style="7" customWidth="1"/>
    <col min="22" max="22" width="12.140625" style="8" customWidth="1"/>
    <col min="23" max="23" width="11.28515625" style="7" customWidth="1"/>
    <col min="24" max="24" width="11.42578125" style="7" customWidth="1"/>
    <col min="25" max="25" width="11.85546875" style="7" customWidth="1"/>
    <col min="26" max="26" width="12.42578125" style="8" customWidth="1"/>
    <col min="27" max="27" width="7.7109375" style="7" customWidth="1"/>
    <col min="28" max="28" width="12.85546875" style="113" customWidth="1"/>
    <col min="29" max="29" width="13.42578125" style="7" customWidth="1"/>
    <col min="30" max="30" width="11.7109375" style="7" bestFit="1" customWidth="1"/>
    <col min="31" max="31" width="10.7109375" style="7" customWidth="1"/>
    <col min="32" max="33" width="10.42578125" style="7" bestFit="1" customWidth="1"/>
    <col min="34" max="34" width="12.28515625" style="7" bestFit="1" customWidth="1"/>
    <col min="35" max="35" width="11.42578125" style="7" bestFit="1" customWidth="1"/>
    <col min="36" max="16384" width="8.5703125" style="7"/>
  </cols>
  <sheetData>
    <row r="1" spans="1:34" ht="46.9" customHeight="1" x14ac:dyDescent="0.25">
      <c r="A1" s="151" t="s">
        <v>347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25"/>
      <c r="AC1" s="112"/>
      <c r="AD1" s="112"/>
      <c r="AE1" s="112"/>
    </row>
    <row r="3" spans="1:34" ht="18" customHeight="1" x14ac:dyDescent="0.25">
      <c r="A3" s="151" t="s">
        <v>61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25"/>
      <c r="AC3" s="112"/>
      <c r="AD3" s="112"/>
      <c r="AE3" s="112"/>
    </row>
    <row r="4" spans="1:34" ht="15.6" customHeight="1" x14ac:dyDescent="0.25">
      <c r="A4" s="151" t="s">
        <v>27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9"/>
    </row>
    <row r="5" spans="1:34" ht="15.6" customHeight="1" x14ac:dyDescent="0.25">
      <c r="A5" s="151" t="s">
        <v>49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9"/>
    </row>
    <row r="6" spans="1:34" ht="15.6" customHeight="1" x14ac:dyDescent="0.25">
      <c r="A6" s="151" t="s">
        <v>50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</row>
    <row r="7" spans="1:34" ht="12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43"/>
      <c r="S7" s="143"/>
      <c r="T7" s="143"/>
      <c r="U7" s="143"/>
      <c r="V7" s="11"/>
      <c r="W7" s="143"/>
      <c r="X7" s="152"/>
      <c r="Y7" s="152"/>
      <c r="Z7" s="152"/>
      <c r="AA7" s="152"/>
    </row>
    <row r="8" spans="1:34" ht="18.75" customHeight="1" x14ac:dyDescent="0.25">
      <c r="A8" s="153" t="s">
        <v>13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9"/>
      <c r="AC8" s="12"/>
    </row>
    <row r="9" spans="1:34" ht="18" customHeight="1" x14ac:dyDescent="0.25">
      <c r="A9" s="153" t="s">
        <v>54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</row>
    <row r="10" spans="1:34" ht="18" customHeight="1" x14ac:dyDescent="0.25">
      <c r="A10" s="154" t="s">
        <v>62</v>
      </c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</row>
    <row r="11" spans="1:34" ht="14.25" customHeight="1" x14ac:dyDescent="0.25">
      <c r="V11" s="13"/>
    </row>
    <row r="12" spans="1:34" s="107" customFormat="1" ht="31.9" customHeight="1" x14ac:dyDescent="0.25">
      <c r="A12" s="155" t="s">
        <v>17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7"/>
      <c r="R12" s="158" t="s">
        <v>14</v>
      </c>
      <c r="S12" s="158" t="s">
        <v>34</v>
      </c>
      <c r="T12" s="160" t="s">
        <v>15</v>
      </c>
      <c r="U12" s="161"/>
      <c r="V12" s="161"/>
      <c r="W12" s="161"/>
      <c r="X12" s="161"/>
      <c r="Y12" s="162"/>
      <c r="Z12" s="163" t="s">
        <v>11</v>
      </c>
      <c r="AA12" s="163"/>
      <c r="AB12" s="9"/>
      <c r="AC12" s="9"/>
      <c r="AD12" s="9"/>
      <c r="AE12" s="9"/>
      <c r="AF12" s="9"/>
      <c r="AG12" s="9"/>
    </row>
    <row r="13" spans="1:34" s="107" customFormat="1" ht="53.45" customHeight="1" x14ac:dyDescent="0.25">
      <c r="A13" s="155" t="s">
        <v>30</v>
      </c>
      <c r="B13" s="156"/>
      <c r="C13" s="157"/>
      <c r="D13" s="155" t="s">
        <v>28</v>
      </c>
      <c r="E13" s="157"/>
      <c r="F13" s="155" t="s">
        <v>29</v>
      </c>
      <c r="G13" s="157"/>
      <c r="H13" s="155" t="s">
        <v>18</v>
      </c>
      <c r="I13" s="156"/>
      <c r="J13" s="156"/>
      <c r="K13" s="156"/>
      <c r="L13" s="156"/>
      <c r="M13" s="156"/>
      <c r="N13" s="156"/>
      <c r="O13" s="156"/>
      <c r="P13" s="156"/>
      <c r="Q13" s="157"/>
      <c r="R13" s="159"/>
      <c r="S13" s="159"/>
      <c r="T13" s="144">
        <v>2018</v>
      </c>
      <c r="U13" s="144">
        <v>2019</v>
      </c>
      <c r="V13" s="144">
        <v>2020</v>
      </c>
      <c r="W13" s="144">
        <v>2021</v>
      </c>
      <c r="X13" s="144">
        <v>2022</v>
      </c>
      <c r="Y13" s="144">
        <v>2023</v>
      </c>
      <c r="Z13" s="144" t="s">
        <v>12</v>
      </c>
      <c r="AA13" s="144" t="s">
        <v>31</v>
      </c>
      <c r="AB13" s="14"/>
      <c r="AC13" s="15"/>
      <c r="AD13" s="15"/>
      <c r="AE13" s="16"/>
      <c r="AF13" s="16"/>
      <c r="AG13" s="16"/>
    </row>
    <row r="14" spans="1:34" s="107" customFormat="1" ht="15.75" customHeight="1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25</v>
      </c>
      <c r="Z14" s="17">
        <v>26</v>
      </c>
      <c r="AA14" s="17">
        <v>27</v>
      </c>
      <c r="AB14" s="18"/>
      <c r="AC14" s="19"/>
      <c r="AD14" s="20"/>
      <c r="AE14" s="16"/>
      <c r="AF14" s="16"/>
      <c r="AG14" s="16"/>
    </row>
    <row r="15" spans="1:34" s="8" customFormat="1" ht="29.25" customHeight="1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2" t="s">
        <v>16</v>
      </c>
      <c r="S15" s="23" t="s">
        <v>0</v>
      </c>
      <c r="T15" s="24">
        <f t="shared" ref="T15:Y15" si="0">T31+T133+T460+T509+T32+T134</f>
        <v>505632.41500000004</v>
      </c>
      <c r="U15" s="24">
        <f t="shared" si="0"/>
        <v>460635</v>
      </c>
      <c r="V15" s="24">
        <f t="shared" si="0"/>
        <v>341737.99999999994</v>
      </c>
      <c r="W15" s="24">
        <f t="shared" si="0"/>
        <v>262964</v>
      </c>
      <c r="X15" s="24">
        <f t="shared" si="0"/>
        <v>274611.39999999997</v>
      </c>
      <c r="Y15" s="24">
        <f t="shared" si="0"/>
        <v>258199.69999999995</v>
      </c>
      <c r="Z15" s="24">
        <f>T15+U15+V15+W15+X15+Y15</f>
        <v>2103780.5149999997</v>
      </c>
      <c r="AA15" s="23">
        <v>2023</v>
      </c>
      <c r="AB15" s="14"/>
      <c r="AC15" s="14"/>
      <c r="AD15" s="14"/>
      <c r="AE15" s="14"/>
      <c r="AF15" s="14"/>
      <c r="AG15" s="14"/>
      <c r="AH15" s="25"/>
    </row>
    <row r="16" spans="1:34" s="32" customFormat="1" ht="16.149999999999999" hidden="1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3" si="1">S16*105.1%</f>
        <v>#VALUE!</v>
      </c>
      <c r="U16" s="29" t="e">
        <f t="shared" ref="U16:V23" si="2">T16*104.9%</f>
        <v>#VALUE!</v>
      </c>
      <c r="V16" s="29" t="e">
        <f t="shared" si="2"/>
        <v>#VALUE!</v>
      </c>
      <c r="W16" s="29" t="e">
        <f t="shared" ref="W16:W23" si="3">V16*105.1%</f>
        <v>#VALUE!</v>
      </c>
      <c r="X16" s="29" t="e">
        <f t="shared" ref="X16:Y23" si="4">W16*104.9%</f>
        <v>#VALUE!</v>
      </c>
      <c r="Y16" s="29" t="e">
        <f t="shared" si="4"/>
        <v>#VALUE!</v>
      </c>
      <c r="Z16" s="29" t="e">
        <f t="shared" ref="Z16:Z23" si="5">T16+U16+V16+W16+X16+Y16</f>
        <v>#VALUE!</v>
      </c>
      <c r="AA16" s="30">
        <v>2019</v>
      </c>
      <c r="AB16" s="31"/>
    </row>
    <row r="17" spans="1:35" s="32" customFormat="1" ht="16.149999999999999" hidden="1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 t="e">
        <f t="shared" si="4"/>
        <v>#VALUE!</v>
      </c>
      <c r="Z17" s="29" t="e">
        <f t="shared" si="5"/>
        <v>#VALUE!</v>
      </c>
      <c r="AA17" s="30">
        <v>2019</v>
      </c>
      <c r="AB17" s="31"/>
    </row>
    <row r="18" spans="1:35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 t="e">
        <f t="shared" si="4"/>
        <v>#VALUE!</v>
      </c>
      <c r="Z18" s="29" t="e">
        <f t="shared" si="5"/>
        <v>#VALUE!</v>
      </c>
      <c r="AA18" s="30">
        <v>2019</v>
      </c>
      <c r="AB18" s="31"/>
    </row>
    <row r="19" spans="1:35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 t="e">
        <f t="shared" si="5"/>
        <v>#VALUE!</v>
      </c>
      <c r="AA19" s="30">
        <v>2019</v>
      </c>
      <c r="AB19" s="31"/>
    </row>
    <row r="20" spans="1:35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 t="e">
        <f t="shared" si="5"/>
        <v>#VALUE!</v>
      </c>
      <c r="AA20" s="30">
        <v>2019</v>
      </c>
      <c r="AB20" s="31"/>
    </row>
    <row r="21" spans="1:35" s="32" customFormat="1" ht="16.149999999999999" hidden="1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 t="e">
        <f t="shared" si="5"/>
        <v>#VALUE!</v>
      </c>
      <c r="AA21" s="30">
        <v>2019</v>
      </c>
      <c r="AB21" s="31"/>
    </row>
    <row r="22" spans="1:35" s="32" customFormat="1" ht="16.149999999999999" hidden="1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 t="e">
        <f t="shared" si="5"/>
        <v>#VALUE!</v>
      </c>
      <c r="AA22" s="30">
        <v>2019</v>
      </c>
      <c r="AB22" s="31"/>
    </row>
    <row r="23" spans="1:35" s="35" customFormat="1" ht="78" hidden="1" customHeight="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2" t="s">
        <v>64</v>
      </c>
      <c r="S23" s="33" t="s">
        <v>0</v>
      </c>
      <c r="T23" s="29" t="e">
        <f t="shared" si="1"/>
        <v>#VALUE!</v>
      </c>
      <c r="U23" s="29" t="e">
        <f t="shared" si="2"/>
        <v>#VALUE!</v>
      </c>
      <c r="V23" s="29" t="e">
        <f t="shared" si="2"/>
        <v>#VALUE!</v>
      </c>
      <c r="W23" s="29" t="e">
        <f t="shared" si="3"/>
        <v>#VALUE!</v>
      </c>
      <c r="X23" s="29" t="e">
        <f t="shared" si="4"/>
        <v>#VALUE!</v>
      </c>
      <c r="Y23" s="29" t="e">
        <f t="shared" si="4"/>
        <v>#VALUE!</v>
      </c>
      <c r="Z23" s="29" t="e">
        <f t="shared" si="5"/>
        <v>#VALUE!</v>
      </c>
      <c r="AA23" s="30">
        <v>2019</v>
      </c>
      <c r="AB23" s="34"/>
    </row>
    <row r="24" spans="1:35" s="8" customFormat="1" ht="47.25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 t="s">
        <v>65</v>
      </c>
      <c r="S24" s="17"/>
      <c r="T24" s="38"/>
      <c r="U24" s="38"/>
      <c r="V24" s="38"/>
      <c r="W24" s="38"/>
      <c r="X24" s="38"/>
      <c r="Y24" s="38"/>
      <c r="Z24" s="38"/>
      <c r="AA24" s="39"/>
      <c r="AB24" s="102"/>
      <c r="AC24" s="41"/>
      <c r="AD24" s="41"/>
    </row>
    <row r="25" spans="1:35" ht="63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3" t="s">
        <v>66</v>
      </c>
      <c r="S25" s="44" t="s">
        <v>9</v>
      </c>
      <c r="T25" s="3">
        <f xml:space="preserve"> (416.9+89.6)/2557*100</f>
        <v>19.8083691826359</v>
      </c>
      <c r="U25" s="3">
        <f xml:space="preserve"> (416.9+89.6+51)/2557*100</f>
        <v>21.802894016425498</v>
      </c>
      <c r="V25" s="3">
        <f xml:space="preserve"> (416.9+89.6+51+64.3)/2557*100</f>
        <v>24.317559640203363</v>
      </c>
      <c r="W25" s="3">
        <f xml:space="preserve"> (416.9+89.6+51+64.3+64.3)/2557*100</f>
        <v>26.832225263981226</v>
      </c>
      <c r="X25" s="3">
        <f xml:space="preserve"> (416.9+89.6+51+64.3+64.3+64.3)/2557*100</f>
        <v>29.346890887759088</v>
      </c>
      <c r="Y25" s="3">
        <v>0</v>
      </c>
      <c r="Z25" s="6">
        <f>X25</f>
        <v>29.346890887759088</v>
      </c>
      <c r="AA25" s="144">
        <v>2022</v>
      </c>
      <c r="AB25" s="34"/>
    </row>
    <row r="26" spans="1:35" ht="47.25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3" t="s">
        <v>67</v>
      </c>
      <c r="S26" s="44" t="s">
        <v>9</v>
      </c>
      <c r="T26" s="3">
        <f>((842+61)+58)/2737*100</f>
        <v>35.111435878699304</v>
      </c>
      <c r="U26" s="3">
        <f>((842+61)+58+48)/2737*100</f>
        <v>36.865180854950673</v>
      </c>
      <c r="V26" s="3">
        <f>((842+61)+58+48+48)/2737*100</f>
        <v>38.618925831202041</v>
      </c>
      <c r="W26" s="3">
        <f>((842+61)+58+48+48+48)/2737*100</f>
        <v>40.372670807453417</v>
      </c>
      <c r="X26" s="3">
        <f>((842+61)+58+48+48+48+48)/2737*100</f>
        <v>42.126415783704786</v>
      </c>
      <c r="Y26" s="3">
        <f>((842+61)+58+48+48+48+48+18)/2737*100</f>
        <v>42.784070149799049</v>
      </c>
      <c r="Z26" s="6">
        <f>Y26</f>
        <v>42.784070149799049</v>
      </c>
      <c r="AA26" s="44">
        <v>2023</v>
      </c>
      <c r="AB26" s="45"/>
      <c r="AC26" s="46"/>
      <c r="AD26" s="46"/>
      <c r="AE26" s="12"/>
    </row>
    <row r="27" spans="1:35" ht="47.25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7" t="s">
        <v>68</v>
      </c>
      <c r="S27" s="44" t="s">
        <v>35</v>
      </c>
      <c r="T27" s="140">
        <f>T33/420.1</f>
        <v>0.21328255177338726</v>
      </c>
      <c r="U27" s="140">
        <f t="shared" ref="U27:X27" si="6">U33/420.1</f>
        <v>0.12139966674601285</v>
      </c>
      <c r="V27" s="140">
        <f t="shared" si="6"/>
        <v>0.153058795524875</v>
      </c>
      <c r="W27" s="140">
        <f t="shared" si="6"/>
        <v>0.153058795524875</v>
      </c>
      <c r="X27" s="140">
        <f t="shared" si="6"/>
        <v>0.153058795524875</v>
      </c>
      <c r="Y27" s="3">
        <v>0</v>
      </c>
      <c r="Z27" s="6">
        <f>SUM(T27:Y27)</f>
        <v>0.79385860509402506</v>
      </c>
      <c r="AA27" s="44">
        <v>2022</v>
      </c>
      <c r="AB27" s="34"/>
    </row>
    <row r="28" spans="1:35" ht="31.5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7" t="s">
        <v>69</v>
      </c>
      <c r="S28" s="144" t="s">
        <v>56</v>
      </c>
      <c r="T28" s="3">
        <f>T120</f>
        <v>2557</v>
      </c>
      <c r="U28" s="3">
        <f t="shared" ref="U28:Y28" si="7">U120</f>
        <v>2009.1</v>
      </c>
      <c r="V28" s="3">
        <f t="shared" si="7"/>
        <v>2736</v>
      </c>
      <c r="W28" s="3">
        <f t="shared" si="7"/>
        <v>2009.1</v>
      </c>
      <c r="X28" s="3">
        <f t="shared" si="7"/>
        <v>2009.1</v>
      </c>
      <c r="Y28" s="3">
        <f t="shared" si="7"/>
        <v>2009.1</v>
      </c>
      <c r="Z28" s="5">
        <f>SUM(Y28)</f>
        <v>2009.1</v>
      </c>
      <c r="AA28" s="144">
        <v>2023</v>
      </c>
      <c r="AB28" s="34"/>
      <c r="AC28" s="25"/>
      <c r="AD28" s="12"/>
      <c r="AE28" s="12"/>
      <c r="AF28" s="12"/>
      <c r="AG28" s="12"/>
      <c r="AH28" s="12"/>
      <c r="AI28" s="12"/>
    </row>
    <row r="29" spans="1:35" ht="48" customHeight="1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 t="s">
        <v>70</v>
      </c>
      <c r="S29" s="144" t="s">
        <v>52</v>
      </c>
      <c r="T29" s="47">
        <f>T117</f>
        <v>2400</v>
      </c>
      <c r="U29" s="47">
        <f t="shared" ref="U29:Y29" si="8">U117</f>
        <v>2400</v>
      </c>
      <c r="V29" s="47">
        <f t="shared" si="8"/>
        <v>2400</v>
      </c>
      <c r="W29" s="47">
        <f t="shared" si="8"/>
        <v>2400</v>
      </c>
      <c r="X29" s="47">
        <f t="shared" si="8"/>
        <v>2400</v>
      </c>
      <c r="Y29" s="47">
        <f t="shared" si="8"/>
        <v>2400</v>
      </c>
      <c r="Z29" s="48">
        <f>SUM(T29:Y29)</f>
        <v>14400</v>
      </c>
      <c r="AA29" s="144">
        <v>2023</v>
      </c>
      <c r="AB29" s="34"/>
    </row>
    <row r="30" spans="1:35" ht="60.75" hidden="1" customHeight="1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 t="s">
        <v>71</v>
      </c>
      <c r="S30" s="144" t="s">
        <v>10</v>
      </c>
      <c r="T30" s="3">
        <f t="shared" ref="T30:Z30" si="9">T494</f>
        <v>70</v>
      </c>
      <c r="U30" s="3">
        <f t="shared" si="9"/>
        <v>70</v>
      </c>
      <c r="V30" s="3">
        <f t="shared" si="9"/>
        <v>70</v>
      </c>
      <c r="W30" s="3">
        <f t="shared" si="9"/>
        <v>70</v>
      </c>
      <c r="X30" s="3">
        <f t="shared" si="9"/>
        <v>68</v>
      </c>
      <c r="Y30" s="3">
        <f t="shared" si="9"/>
        <v>68</v>
      </c>
      <c r="Z30" s="6">
        <f t="shared" si="9"/>
        <v>416</v>
      </c>
      <c r="AA30" s="144">
        <v>2023</v>
      </c>
    </row>
    <row r="31" spans="1:35" ht="33" customHeight="1" x14ac:dyDescent="0.2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50" t="s">
        <v>36</v>
      </c>
      <c r="S31" s="53" t="s">
        <v>290</v>
      </c>
      <c r="T31" s="52">
        <f>T42+T51+T57+T68+T76+T98+T101+T111+T114+T122+T125+T127+T130</f>
        <v>325992.60000000003</v>
      </c>
      <c r="U31" s="52">
        <f t="shared" ref="U31:Y31" si="10">U42+U51+U57+U68+U76+U98+U101+U111+U114+U122+U125+U127+U130</f>
        <v>316689.3</v>
      </c>
      <c r="V31" s="52">
        <f t="shared" si="10"/>
        <v>284049.09999999998</v>
      </c>
      <c r="W31" s="52">
        <f t="shared" si="10"/>
        <v>209134</v>
      </c>
      <c r="X31" s="52">
        <f t="shared" si="10"/>
        <v>209134</v>
      </c>
      <c r="Y31" s="52">
        <f t="shared" si="10"/>
        <v>203484.3</v>
      </c>
      <c r="Z31" s="52">
        <f>T31+U31+V31+W31+X31+Y31</f>
        <v>1548483.3</v>
      </c>
      <c r="AA31" s="53">
        <v>2023</v>
      </c>
      <c r="AB31" s="121"/>
    </row>
    <row r="32" spans="1:35" ht="78" hidden="1" customHeight="1" x14ac:dyDescent="0.25">
      <c r="A32" s="49"/>
      <c r="B32" s="49"/>
      <c r="C32" s="49"/>
      <c r="D32" s="49" t="s">
        <v>19</v>
      </c>
      <c r="E32" s="49" t="s">
        <v>22</v>
      </c>
      <c r="F32" s="49" t="s">
        <v>19</v>
      </c>
      <c r="G32" s="49" t="s">
        <v>23</v>
      </c>
      <c r="H32" s="49" t="s">
        <v>20</v>
      </c>
      <c r="I32" s="49" t="s">
        <v>25</v>
      </c>
      <c r="J32" s="49" t="s">
        <v>19</v>
      </c>
      <c r="K32" s="49" t="s">
        <v>294</v>
      </c>
      <c r="L32" s="49" t="s">
        <v>21</v>
      </c>
      <c r="M32" s="49" t="s">
        <v>22</v>
      </c>
      <c r="N32" s="49" t="s">
        <v>22</v>
      </c>
      <c r="O32" s="49" t="s">
        <v>22</v>
      </c>
      <c r="P32" s="49" t="s">
        <v>22</v>
      </c>
      <c r="Q32" s="49" t="s">
        <v>20</v>
      </c>
      <c r="R32" s="50" t="s">
        <v>295</v>
      </c>
      <c r="S32" s="53" t="s">
        <v>290</v>
      </c>
      <c r="T32" s="52">
        <v>0</v>
      </c>
      <c r="U32" s="52"/>
      <c r="V32" s="52"/>
      <c r="W32" s="52"/>
      <c r="X32" s="52"/>
      <c r="Y32" s="52">
        <f>Y127</f>
        <v>0</v>
      </c>
      <c r="Z32" s="52">
        <f>T32+U32+V32+W32+X32+Y32</f>
        <v>0</v>
      </c>
      <c r="AA32" s="53">
        <v>2022</v>
      </c>
      <c r="AB32" s="121"/>
    </row>
    <row r="33" spans="1:30" ht="31.15" customHeigh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54" t="s">
        <v>72</v>
      </c>
      <c r="S33" s="144" t="s">
        <v>56</v>
      </c>
      <c r="T33" s="4">
        <f>T48+T129</f>
        <v>89.6</v>
      </c>
      <c r="U33" s="4">
        <f>U48+U129</f>
        <v>51</v>
      </c>
      <c r="V33" s="4">
        <f>V48+V129</f>
        <v>64.3</v>
      </c>
      <c r="W33" s="4">
        <f>W48+W129</f>
        <v>64.3</v>
      </c>
      <c r="X33" s="4">
        <f>X48+X129</f>
        <v>64.3</v>
      </c>
      <c r="Y33" s="2">
        <f>(Y129)/1000</f>
        <v>0</v>
      </c>
      <c r="Z33" s="5">
        <f>T33+U33+V33+W33+X33+Y33</f>
        <v>333.5</v>
      </c>
      <c r="AA33" s="144">
        <v>2022</v>
      </c>
      <c r="AB33" s="34"/>
    </row>
    <row r="34" spans="1:30" s="57" customFormat="1" ht="47.25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3" t="s">
        <v>73</v>
      </c>
      <c r="S34" s="44" t="s">
        <v>39</v>
      </c>
      <c r="T34" s="2">
        <f>T47+T128</f>
        <v>5</v>
      </c>
      <c r="U34" s="2">
        <f>U47+U128</f>
        <v>2</v>
      </c>
      <c r="V34" s="2">
        <f>V47+V128</f>
        <v>3</v>
      </c>
      <c r="W34" s="2">
        <f>W47+W128</f>
        <v>3</v>
      </c>
      <c r="X34" s="2">
        <f>X47+X128</f>
        <v>3</v>
      </c>
      <c r="Y34" s="47">
        <f>Y128</f>
        <v>0</v>
      </c>
      <c r="Z34" s="55">
        <f>T34+U34+V34+W34+X34+Y34</f>
        <v>16</v>
      </c>
      <c r="AA34" s="144">
        <v>2022</v>
      </c>
      <c r="AB34" s="34"/>
      <c r="AC34" s="56"/>
    </row>
    <row r="35" spans="1:30" s="57" customFormat="1" ht="31.5" customHeight="1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3" t="s">
        <v>74</v>
      </c>
      <c r="S35" s="44" t="s">
        <v>9</v>
      </c>
      <c r="T35" s="58">
        <v>100</v>
      </c>
      <c r="U35" s="58">
        <v>100</v>
      </c>
      <c r="V35" s="58">
        <v>100</v>
      </c>
      <c r="W35" s="58">
        <v>100</v>
      </c>
      <c r="X35" s="58">
        <v>100</v>
      </c>
      <c r="Y35" s="58">
        <v>100</v>
      </c>
      <c r="Z35" s="59">
        <v>100</v>
      </c>
      <c r="AA35" s="144">
        <v>2023</v>
      </c>
      <c r="AB35" s="34"/>
      <c r="AC35" s="56"/>
    </row>
    <row r="36" spans="1:30" ht="48" customHeight="1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37" t="s">
        <v>75</v>
      </c>
      <c r="S36" s="144" t="s">
        <v>52</v>
      </c>
      <c r="T36" s="47">
        <f t="shared" ref="T36:Y36" si="11">T117</f>
        <v>2400</v>
      </c>
      <c r="U36" s="47">
        <f t="shared" si="11"/>
        <v>2400</v>
      </c>
      <c r="V36" s="47">
        <f t="shared" si="11"/>
        <v>2400</v>
      </c>
      <c r="W36" s="47">
        <f t="shared" si="11"/>
        <v>2400</v>
      </c>
      <c r="X36" s="47">
        <f t="shared" si="11"/>
        <v>2400</v>
      </c>
      <c r="Y36" s="47">
        <f t="shared" si="11"/>
        <v>2400</v>
      </c>
      <c r="Z36" s="48">
        <f>SUM(T36:Y36)</f>
        <v>14400</v>
      </c>
      <c r="AA36" s="144">
        <v>2023</v>
      </c>
      <c r="AB36" s="34"/>
    </row>
    <row r="37" spans="1:30" ht="31.5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37" t="s">
        <v>76</v>
      </c>
      <c r="S37" s="144" t="s">
        <v>39</v>
      </c>
      <c r="T37" s="47">
        <f t="shared" ref="T37:Y37" si="12">T58</f>
        <v>10</v>
      </c>
      <c r="U37" s="47">
        <f t="shared" si="12"/>
        <v>10</v>
      </c>
      <c r="V37" s="47">
        <f t="shared" si="12"/>
        <v>10</v>
      </c>
      <c r="W37" s="47">
        <f t="shared" si="12"/>
        <v>10</v>
      </c>
      <c r="X37" s="47">
        <f t="shared" si="12"/>
        <v>10</v>
      </c>
      <c r="Y37" s="47">
        <f t="shared" si="12"/>
        <v>10</v>
      </c>
      <c r="Z37" s="55">
        <v>10</v>
      </c>
      <c r="AA37" s="144">
        <v>2023</v>
      </c>
      <c r="AB37" s="34"/>
    </row>
    <row r="38" spans="1:30" ht="47.45" customHeight="1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54" t="s">
        <v>77</v>
      </c>
      <c r="S38" s="144" t="s">
        <v>39</v>
      </c>
      <c r="T38" s="47">
        <f t="shared" ref="T38:Y38" si="13">T69</f>
        <v>20</v>
      </c>
      <c r="U38" s="2">
        <f t="shared" si="13"/>
        <v>20</v>
      </c>
      <c r="V38" s="2">
        <f t="shared" si="13"/>
        <v>20</v>
      </c>
      <c r="W38" s="2">
        <f t="shared" si="13"/>
        <v>20</v>
      </c>
      <c r="X38" s="2">
        <f t="shared" si="13"/>
        <v>20</v>
      </c>
      <c r="Y38" s="2">
        <f t="shared" si="13"/>
        <v>20</v>
      </c>
      <c r="Z38" s="55">
        <v>20</v>
      </c>
      <c r="AA38" s="144">
        <v>2023</v>
      </c>
      <c r="AB38" s="34"/>
    </row>
    <row r="39" spans="1:30" s="57" customFormat="1" ht="63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54" t="s">
        <v>78</v>
      </c>
      <c r="S39" s="44" t="s">
        <v>39</v>
      </c>
      <c r="T39" s="47">
        <f>T79</f>
        <v>25</v>
      </c>
      <c r="U39" s="47">
        <f>U79</f>
        <v>54</v>
      </c>
      <c r="V39" s="47">
        <f t="shared" ref="V39:Y39" si="14">V79</f>
        <v>54</v>
      </c>
      <c r="W39" s="47">
        <f t="shared" si="14"/>
        <v>54</v>
      </c>
      <c r="X39" s="47">
        <f t="shared" si="14"/>
        <v>54</v>
      </c>
      <c r="Y39" s="47">
        <f t="shared" si="14"/>
        <v>54</v>
      </c>
      <c r="Z39" s="55">
        <f>SUM(T39:Y39)</f>
        <v>295</v>
      </c>
      <c r="AA39" s="144">
        <v>2023</v>
      </c>
      <c r="AB39" s="121"/>
      <c r="AC39" s="56"/>
    </row>
    <row r="40" spans="1:30" s="57" customFormat="1" ht="63" x14ac:dyDescent="0.25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1" t="s">
        <v>79</v>
      </c>
      <c r="S40" s="62" t="s">
        <v>42</v>
      </c>
      <c r="T40" s="63">
        <v>1</v>
      </c>
      <c r="U40" s="63">
        <v>1</v>
      </c>
      <c r="V40" s="63">
        <v>1</v>
      </c>
      <c r="W40" s="63">
        <v>1</v>
      </c>
      <c r="X40" s="63">
        <v>1</v>
      </c>
      <c r="Y40" s="63">
        <v>0</v>
      </c>
      <c r="Z40" s="64">
        <v>1</v>
      </c>
      <c r="AA40" s="65">
        <v>2022</v>
      </c>
      <c r="AB40" s="34"/>
      <c r="AC40" s="56"/>
    </row>
    <row r="41" spans="1:30" ht="31.5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3" t="s">
        <v>80</v>
      </c>
      <c r="S41" s="44" t="s">
        <v>39</v>
      </c>
      <c r="T41" s="47">
        <v>5</v>
      </c>
      <c r="U41" s="2">
        <v>6</v>
      </c>
      <c r="V41" s="2">
        <v>6</v>
      </c>
      <c r="W41" s="2">
        <v>6</v>
      </c>
      <c r="X41" s="2">
        <v>6</v>
      </c>
      <c r="Y41" s="2">
        <v>0</v>
      </c>
      <c r="Z41" s="48">
        <f>SUM(T41:Y41)</f>
        <v>29</v>
      </c>
      <c r="AA41" s="144">
        <v>2022</v>
      </c>
      <c r="AB41" s="132"/>
      <c r="AC41" s="112"/>
      <c r="AD41" s="8"/>
    </row>
    <row r="42" spans="1:30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167" t="s">
        <v>81</v>
      </c>
      <c r="S42" s="62" t="s">
        <v>0</v>
      </c>
      <c r="T42" s="66">
        <f t="shared" ref="T42:Y42" si="15">T43+T44+T45+T46</f>
        <v>85389.599999999991</v>
      </c>
      <c r="U42" s="66">
        <f t="shared" si="15"/>
        <v>0</v>
      </c>
      <c r="V42" s="66">
        <f t="shared" si="15"/>
        <v>0</v>
      </c>
      <c r="W42" s="66">
        <f t="shared" si="15"/>
        <v>0</v>
      </c>
      <c r="X42" s="66">
        <f t="shared" si="15"/>
        <v>0</v>
      </c>
      <c r="Y42" s="66">
        <f t="shared" si="15"/>
        <v>0</v>
      </c>
      <c r="Z42" s="66">
        <f>SUM(T42:Y42)</f>
        <v>85389.599999999991</v>
      </c>
      <c r="AA42" s="65">
        <v>2022</v>
      </c>
      <c r="AB42" s="136"/>
      <c r="AC42" s="67"/>
      <c r="AD42" s="8"/>
    </row>
    <row r="43" spans="1:30" ht="16.899999999999999" hidden="1" customHeight="1" x14ac:dyDescent="0.25">
      <c r="A43" s="60" t="s">
        <v>19</v>
      </c>
      <c r="B43" s="60" t="s">
        <v>20</v>
      </c>
      <c r="C43" s="60" t="s">
        <v>21</v>
      </c>
      <c r="D43" s="60" t="s">
        <v>19</v>
      </c>
      <c r="E43" s="60" t="s">
        <v>22</v>
      </c>
      <c r="F43" s="60" t="s">
        <v>19</v>
      </c>
      <c r="G43" s="60" t="s">
        <v>23</v>
      </c>
      <c r="H43" s="60" t="s">
        <v>20</v>
      </c>
      <c r="I43" s="60" t="s">
        <v>25</v>
      </c>
      <c r="J43" s="60" t="s">
        <v>19</v>
      </c>
      <c r="K43" s="60" t="s">
        <v>19</v>
      </c>
      <c r="L43" s="60" t="s">
        <v>20</v>
      </c>
      <c r="M43" s="60" t="s">
        <v>45</v>
      </c>
      <c r="N43" s="60" t="s">
        <v>22</v>
      </c>
      <c r="O43" s="60" t="s">
        <v>22</v>
      </c>
      <c r="P43" s="60" t="s">
        <v>22</v>
      </c>
      <c r="Q43" s="60" t="s">
        <v>46</v>
      </c>
      <c r="R43" s="168"/>
      <c r="S43" s="62" t="s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66">
        <f>SUM(T43:Y43)</f>
        <v>0</v>
      </c>
      <c r="AA43" s="65">
        <v>2022</v>
      </c>
      <c r="AC43" s="67"/>
      <c r="AD43" s="8"/>
    </row>
    <row r="44" spans="1:30" ht="16.899999999999999" hidden="1" customHeight="1" x14ac:dyDescent="0.25">
      <c r="A44" s="60" t="s">
        <v>19</v>
      </c>
      <c r="B44" s="60" t="s">
        <v>20</v>
      </c>
      <c r="C44" s="60" t="s">
        <v>21</v>
      </c>
      <c r="D44" s="60" t="s">
        <v>19</v>
      </c>
      <c r="E44" s="60" t="s">
        <v>22</v>
      </c>
      <c r="F44" s="60" t="s">
        <v>19</v>
      </c>
      <c r="G44" s="60" t="s">
        <v>23</v>
      </c>
      <c r="H44" s="60" t="s">
        <v>20</v>
      </c>
      <c r="I44" s="60" t="s">
        <v>25</v>
      </c>
      <c r="J44" s="60" t="s">
        <v>19</v>
      </c>
      <c r="K44" s="60" t="s">
        <v>19</v>
      </c>
      <c r="L44" s="60" t="s">
        <v>20</v>
      </c>
      <c r="M44" s="60" t="s">
        <v>45</v>
      </c>
      <c r="N44" s="60" t="s">
        <v>22</v>
      </c>
      <c r="O44" s="60" t="s">
        <v>22</v>
      </c>
      <c r="P44" s="60" t="s">
        <v>22</v>
      </c>
      <c r="Q44" s="60" t="s">
        <v>46</v>
      </c>
      <c r="R44" s="168"/>
      <c r="S44" s="62" t="s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66">
        <f>SUM(T44:Y44)</f>
        <v>0</v>
      </c>
      <c r="AA44" s="65">
        <v>2022</v>
      </c>
      <c r="AC44" s="67"/>
      <c r="AD44" s="8"/>
    </row>
    <row r="45" spans="1:30" ht="16.899999999999999" customHeight="1" x14ac:dyDescent="0.25">
      <c r="A45" s="60" t="s">
        <v>19</v>
      </c>
      <c r="B45" s="60" t="s">
        <v>20</v>
      </c>
      <c r="C45" s="60" t="s">
        <v>21</v>
      </c>
      <c r="D45" s="60" t="s">
        <v>19</v>
      </c>
      <c r="E45" s="60" t="s">
        <v>22</v>
      </c>
      <c r="F45" s="60" t="s">
        <v>19</v>
      </c>
      <c r="G45" s="60" t="s">
        <v>23</v>
      </c>
      <c r="H45" s="60" t="s">
        <v>20</v>
      </c>
      <c r="I45" s="60" t="s">
        <v>25</v>
      </c>
      <c r="J45" s="60" t="s">
        <v>19</v>
      </c>
      <c r="K45" s="60" t="s">
        <v>19</v>
      </c>
      <c r="L45" s="60" t="s">
        <v>20</v>
      </c>
      <c r="M45" s="60" t="s">
        <v>41</v>
      </c>
      <c r="N45" s="60" t="s">
        <v>22</v>
      </c>
      <c r="O45" s="60" t="s">
        <v>22</v>
      </c>
      <c r="P45" s="60" t="s">
        <v>22</v>
      </c>
      <c r="Q45" s="60" t="s">
        <v>19</v>
      </c>
      <c r="R45" s="168"/>
      <c r="S45" s="62" t="s">
        <v>0</v>
      </c>
      <c r="T45" s="1">
        <f>80246+3777-348.6</f>
        <v>83674.399999999994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66">
        <f>SUM(T45:Y45)</f>
        <v>83674.399999999994</v>
      </c>
      <c r="AA45" s="65">
        <v>2022</v>
      </c>
      <c r="AB45" s="134"/>
      <c r="AC45" s="112"/>
      <c r="AD45" s="112"/>
    </row>
    <row r="46" spans="1:30" ht="16.899999999999999" customHeight="1" x14ac:dyDescent="0.25">
      <c r="A46" s="60" t="s">
        <v>19</v>
      </c>
      <c r="B46" s="60" t="s">
        <v>20</v>
      </c>
      <c r="C46" s="60" t="s">
        <v>21</v>
      </c>
      <c r="D46" s="60" t="s">
        <v>19</v>
      </c>
      <c r="E46" s="60" t="s">
        <v>22</v>
      </c>
      <c r="F46" s="60" t="s">
        <v>19</v>
      </c>
      <c r="G46" s="60" t="s">
        <v>23</v>
      </c>
      <c r="H46" s="60" t="s">
        <v>20</v>
      </c>
      <c r="I46" s="60" t="s">
        <v>25</v>
      </c>
      <c r="J46" s="60" t="s">
        <v>19</v>
      </c>
      <c r="K46" s="60" t="s">
        <v>19</v>
      </c>
      <c r="L46" s="60" t="s">
        <v>20</v>
      </c>
      <c r="M46" s="60" t="s">
        <v>19</v>
      </c>
      <c r="N46" s="60" t="s">
        <v>19</v>
      </c>
      <c r="O46" s="60" t="s">
        <v>19</v>
      </c>
      <c r="P46" s="60" t="s">
        <v>19</v>
      </c>
      <c r="Q46" s="60" t="s">
        <v>19</v>
      </c>
      <c r="R46" s="169"/>
      <c r="S46" s="62" t="s">
        <v>0</v>
      </c>
      <c r="T46" s="1">
        <f>2298.3-43.1-12-538+10</f>
        <v>1715.2000000000003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66">
        <f>T46+U46+V46+W46+X46+Y46</f>
        <v>1715.2000000000003</v>
      </c>
      <c r="AA46" s="65">
        <v>2022</v>
      </c>
      <c r="AB46" s="134"/>
      <c r="AC46" s="114"/>
      <c r="AD46" s="114"/>
    </row>
    <row r="47" spans="1:30" s="79" customFormat="1" ht="47.25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68" t="s">
        <v>82</v>
      </c>
      <c r="S47" s="69" t="s">
        <v>39</v>
      </c>
      <c r="T47" s="2">
        <v>5</v>
      </c>
      <c r="U47" s="47">
        <v>0</v>
      </c>
      <c r="V47" s="47">
        <v>0</v>
      </c>
      <c r="W47" s="47">
        <v>0</v>
      </c>
      <c r="X47" s="47">
        <v>0</v>
      </c>
      <c r="Y47" s="47">
        <v>0</v>
      </c>
      <c r="Z47" s="55">
        <f>T47</f>
        <v>5</v>
      </c>
      <c r="AA47" s="80">
        <v>2018</v>
      </c>
      <c r="AB47" s="34"/>
      <c r="AC47" s="105"/>
      <c r="AD47" s="105"/>
    </row>
    <row r="48" spans="1:30" s="79" customFormat="1" ht="32.450000000000003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68" t="s">
        <v>83</v>
      </c>
      <c r="S48" s="69" t="s">
        <v>56</v>
      </c>
      <c r="T48" s="3">
        <v>89.6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6">
        <f>T48</f>
        <v>89.6</v>
      </c>
      <c r="AA48" s="80">
        <v>2018</v>
      </c>
      <c r="AB48" s="34"/>
      <c r="AC48" s="105"/>
      <c r="AD48" s="105"/>
    </row>
    <row r="49" spans="1:33" ht="47.25" x14ac:dyDescent="0.2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147" t="s">
        <v>84</v>
      </c>
      <c r="S49" s="62" t="s">
        <v>42</v>
      </c>
      <c r="T49" s="63">
        <v>0</v>
      </c>
      <c r="U49" s="63">
        <v>1</v>
      </c>
      <c r="V49" s="63">
        <v>1</v>
      </c>
      <c r="W49" s="63">
        <v>1</v>
      </c>
      <c r="X49" s="63">
        <v>1</v>
      </c>
      <c r="Y49" s="63">
        <v>0</v>
      </c>
      <c r="Z49" s="64">
        <v>1</v>
      </c>
      <c r="AA49" s="65">
        <v>2022</v>
      </c>
      <c r="AB49" s="34"/>
      <c r="AC49" s="114"/>
      <c r="AD49" s="114"/>
    </row>
    <row r="50" spans="1:33" s="57" customFormat="1" ht="31.5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3" t="s">
        <v>85</v>
      </c>
      <c r="S50" s="58" t="s">
        <v>39</v>
      </c>
      <c r="T50" s="47">
        <v>0</v>
      </c>
      <c r="U50" s="47">
        <v>1</v>
      </c>
      <c r="V50" s="47">
        <v>1</v>
      </c>
      <c r="W50" s="47">
        <v>1</v>
      </c>
      <c r="X50" s="47">
        <v>1</v>
      </c>
      <c r="Y50" s="47">
        <v>0</v>
      </c>
      <c r="Z50" s="48">
        <f>T50+U50+V50+W50+X50</f>
        <v>4</v>
      </c>
      <c r="AA50" s="44">
        <v>2022</v>
      </c>
      <c r="AB50" s="34"/>
      <c r="AC50" s="56"/>
    </row>
    <row r="51" spans="1:33" ht="24.6" hidden="1" customHeight="1" x14ac:dyDescent="0.25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170" t="s">
        <v>86</v>
      </c>
      <c r="S51" s="70" t="s">
        <v>0</v>
      </c>
      <c r="T51" s="1"/>
      <c r="U51" s="1">
        <f>U53</f>
        <v>0</v>
      </c>
      <c r="V51" s="1">
        <f>V53</f>
        <v>0</v>
      </c>
      <c r="W51" s="1">
        <f>W53</f>
        <v>0</v>
      </c>
      <c r="X51" s="1">
        <f>X53</f>
        <v>0</v>
      </c>
      <c r="Y51" s="1">
        <f>Y53</f>
        <v>0</v>
      </c>
      <c r="Z51" s="66">
        <f>T51+U51+V51+W51+X51+Y51</f>
        <v>0</v>
      </c>
      <c r="AA51" s="65">
        <v>2018</v>
      </c>
    </row>
    <row r="52" spans="1:33" ht="22.15" hidden="1" customHeight="1" x14ac:dyDescent="0.25">
      <c r="A52" s="60" t="s">
        <v>19</v>
      </c>
      <c r="B52" s="60" t="s">
        <v>19</v>
      </c>
      <c r="C52" s="60" t="s">
        <v>24</v>
      </c>
      <c r="D52" s="60" t="s">
        <v>19</v>
      </c>
      <c r="E52" s="60" t="s">
        <v>22</v>
      </c>
      <c r="F52" s="60" t="s">
        <v>19</v>
      </c>
      <c r="G52" s="60" t="s">
        <v>23</v>
      </c>
      <c r="H52" s="60" t="s">
        <v>20</v>
      </c>
      <c r="I52" s="60" t="s">
        <v>25</v>
      </c>
      <c r="J52" s="60" t="s">
        <v>19</v>
      </c>
      <c r="K52" s="60" t="s">
        <v>19</v>
      </c>
      <c r="L52" s="60" t="s">
        <v>20</v>
      </c>
      <c r="M52" s="60" t="s">
        <v>19</v>
      </c>
      <c r="N52" s="60" t="s">
        <v>19</v>
      </c>
      <c r="O52" s="60" t="s">
        <v>19</v>
      </c>
      <c r="P52" s="60" t="s">
        <v>19</v>
      </c>
      <c r="Q52" s="60" t="s">
        <v>19</v>
      </c>
      <c r="R52" s="171"/>
      <c r="S52" s="62" t="s">
        <v>0</v>
      </c>
      <c r="T52" s="1"/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66">
        <f>T52+U52+V52+W52+X52+Y52</f>
        <v>0</v>
      </c>
      <c r="AA52" s="65">
        <v>2018</v>
      </c>
    </row>
    <row r="53" spans="1:33" ht="20.45" hidden="1" customHeight="1" x14ac:dyDescent="0.25">
      <c r="A53" s="60" t="s">
        <v>19</v>
      </c>
      <c r="B53" s="60" t="s">
        <v>19</v>
      </c>
      <c r="C53" s="60" t="s">
        <v>24</v>
      </c>
      <c r="D53" s="60" t="s">
        <v>19</v>
      </c>
      <c r="E53" s="60" t="s">
        <v>22</v>
      </c>
      <c r="F53" s="60" t="s">
        <v>19</v>
      </c>
      <c r="G53" s="60" t="s">
        <v>23</v>
      </c>
      <c r="H53" s="60" t="s">
        <v>20</v>
      </c>
      <c r="I53" s="60" t="s">
        <v>25</v>
      </c>
      <c r="J53" s="60" t="s">
        <v>19</v>
      </c>
      <c r="K53" s="60" t="s">
        <v>19</v>
      </c>
      <c r="L53" s="60" t="s">
        <v>20</v>
      </c>
      <c r="M53" s="60" t="s">
        <v>20</v>
      </c>
      <c r="N53" s="60" t="s">
        <v>19</v>
      </c>
      <c r="O53" s="60" t="s">
        <v>24</v>
      </c>
      <c r="P53" s="60" t="s">
        <v>20</v>
      </c>
      <c r="Q53" s="60" t="s">
        <v>46</v>
      </c>
      <c r="R53" s="171"/>
      <c r="S53" s="70" t="s">
        <v>0</v>
      </c>
      <c r="T53" s="1"/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66">
        <f>T53+U53+V53+W53+X53+Y53</f>
        <v>0</v>
      </c>
      <c r="AA53" s="65">
        <v>2018</v>
      </c>
    </row>
    <row r="54" spans="1:33" ht="21" hidden="1" customHeight="1" x14ac:dyDescent="0.25">
      <c r="A54" s="60" t="s">
        <v>19</v>
      </c>
      <c r="B54" s="60" t="s">
        <v>19</v>
      </c>
      <c r="C54" s="60" t="s">
        <v>24</v>
      </c>
      <c r="D54" s="60" t="s">
        <v>19</v>
      </c>
      <c r="E54" s="60" t="s">
        <v>22</v>
      </c>
      <c r="F54" s="60" t="s">
        <v>19</v>
      </c>
      <c r="G54" s="60" t="s">
        <v>23</v>
      </c>
      <c r="H54" s="60" t="s">
        <v>20</v>
      </c>
      <c r="I54" s="60" t="s">
        <v>25</v>
      </c>
      <c r="J54" s="60" t="s">
        <v>19</v>
      </c>
      <c r="K54" s="60" t="s">
        <v>19</v>
      </c>
      <c r="L54" s="60" t="s">
        <v>20</v>
      </c>
      <c r="M54" s="60" t="s">
        <v>38</v>
      </c>
      <c r="N54" s="60" t="s">
        <v>19</v>
      </c>
      <c r="O54" s="60" t="s">
        <v>24</v>
      </c>
      <c r="P54" s="60" t="s">
        <v>20</v>
      </c>
      <c r="Q54" s="60" t="s">
        <v>48</v>
      </c>
      <c r="R54" s="172"/>
      <c r="S54" s="70" t="s">
        <v>0</v>
      </c>
      <c r="T54" s="1"/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66">
        <f>T54+U54+V54+W54+X54+Y54</f>
        <v>0</v>
      </c>
      <c r="AA54" s="64">
        <v>2018</v>
      </c>
    </row>
    <row r="55" spans="1:33" ht="36" hidden="1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3" t="s">
        <v>87</v>
      </c>
      <c r="S55" s="44" t="s">
        <v>52</v>
      </c>
      <c r="T55" s="47"/>
      <c r="U55" s="47">
        <v>0</v>
      </c>
      <c r="V55" s="47">
        <v>0</v>
      </c>
      <c r="W55" s="47">
        <v>0</v>
      </c>
      <c r="X55" s="47">
        <v>0</v>
      </c>
      <c r="Y55" s="47">
        <v>0</v>
      </c>
      <c r="Z55" s="55"/>
      <c r="AA55" s="2">
        <v>2018</v>
      </c>
      <c r="AC55" s="114"/>
      <c r="AD55" s="114"/>
    </row>
    <row r="56" spans="1:33" ht="41.45" hidden="1" customHeight="1" x14ac:dyDescent="0.25">
      <c r="A56" s="36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71" t="s">
        <v>88</v>
      </c>
      <c r="S56" s="72" t="s">
        <v>9</v>
      </c>
      <c r="T56" s="73">
        <v>100</v>
      </c>
      <c r="U56" s="73">
        <v>0</v>
      </c>
      <c r="V56" s="73">
        <v>0</v>
      </c>
      <c r="W56" s="73">
        <v>0</v>
      </c>
      <c r="X56" s="73">
        <v>0</v>
      </c>
      <c r="Y56" s="73">
        <v>0</v>
      </c>
      <c r="Z56" s="74">
        <v>100</v>
      </c>
      <c r="AA56" s="23">
        <v>2023</v>
      </c>
      <c r="AB56" s="126"/>
      <c r="AC56" s="112"/>
    </row>
    <row r="57" spans="1:33" ht="34.9" customHeight="1" x14ac:dyDescent="0.25">
      <c r="A57" s="60"/>
      <c r="B57" s="60"/>
      <c r="C57" s="60"/>
      <c r="D57" s="60" t="s">
        <v>19</v>
      </c>
      <c r="E57" s="60" t="s">
        <v>22</v>
      </c>
      <c r="F57" s="60" t="s">
        <v>19</v>
      </c>
      <c r="G57" s="60" t="s">
        <v>23</v>
      </c>
      <c r="H57" s="60" t="s">
        <v>20</v>
      </c>
      <c r="I57" s="60" t="s">
        <v>25</v>
      </c>
      <c r="J57" s="60" t="s">
        <v>19</v>
      </c>
      <c r="K57" s="60" t="s">
        <v>19</v>
      </c>
      <c r="L57" s="60" t="s">
        <v>20</v>
      </c>
      <c r="M57" s="60" t="s">
        <v>19</v>
      </c>
      <c r="N57" s="60" t="s">
        <v>19</v>
      </c>
      <c r="O57" s="60" t="s">
        <v>19</v>
      </c>
      <c r="P57" s="60" t="s">
        <v>19</v>
      </c>
      <c r="Q57" s="60" t="s">
        <v>19</v>
      </c>
      <c r="R57" s="75" t="s">
        <v>89</v>
      </c>
      <c r="S57" s="65" t="s">
        <v>0</v>
      </c>
      <c r="T57" s="66">
        <f t="shared" ref="T57:Y57" si="16">T59+T61+T66+T63</f>
        <v>5077.4000000000005</v>
      </c>
      <c r="U57" s="66">
        <f t="shared" si="16"/>
        <v>3869.3</v>
      </c>
      <c r="V57" s="66">
        <f t="shared" si="16"/>
        <v>3500</v>
      </c>
      <c r="W57" s="66">
        <f t="shared" si="16"/>
        <v>3500</v>
      </c>
      <c r="X57" s="66">
        <f t="shared" si="16"/>
        <v>3500</v>
      </c>
      <c r="Y57" s="66">
        <f t="shared" si="16"/>
        <v>3500</v>
      </c>
      <c r="Z57" s="66">
        <f>T57+U57+V57+W57+X57+Y57</f>
        <v>22946.7</v>
      </c>
      <c r="AA57" s="65">
        <v>2023</v>
      </c>
      <c r="AB57" s="131"/>
    </row>
    <row r="58" spans="1:33" ht="31.5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68" t="s">
        <v>90</v>
      </c>
      <c r="S58" s="144" t="s">
        <v>39</v>
      </c>
      <c r="T58" s="2">
        <f t="shared" ref="T58:Y58" si="17">T60+T62+T64+T67</f>
        <v>10</v>
      </c>
      <c r="U58" s="2">
        <f t="shared" si="17"/>
        <v>10</v>
      </c>
      <c r="V58" s="2">
        <f t="shared" si="17"/>
        <v>10</v>
      </c>
      <c r="W58" s="2">
        <f t="shared" si="17"/>
        <v>10</v>
      </c>
      <c r="X58" s="2">
        <f t="shared" si="17"/>
        <v>10</v>
      </c>
      <c r="Y58" s="2">
        <f t="shared" si="17"/>
        <v>10</v>
      </c>
      <c r="Z58" s="48">
        <v>10</v>
      </c>
      <c r="AA58" s="44">
        <v>2023</v>
      </c>
      <c r="AB58" s="137"/>
      <c r="AC58" s="115"/>
      <c r="AD58" s="127"/>
      <c r="AE58" s="116"/>
      <c r="AF58" s="127"/>
      <c r="AG58" s="116"/>
    </row>
    <row r="59" spans="1:33" s="79" customFormat="1" ht="31.5" x14ac:dyDescent="0.25">
      <c r="A59" s="60" t="s">
        <v>19</v>
      </c>
      <c r="B59" s="60" t="s">
        <v>19</v>
      </c>
      <c r="C59" s="60" t="s">
        <v>23</v>
      </c>
      <c r="D59" s="60" t="s">
        <v>19</v>
      </c>
      <c r="E59" s="60" t="s">
        <v>22</v>
      </c>
      <c r="F59" s="60" t="s">
        <v>19</v>
      </c>
      <c r="G59" s="60" t="s">
        <v>23</v>
      </c>
      <c r="H59" s="60" t="s">
        <v>20</v>
      </c>
      <c r="I59" s="60" t="s">
        <v>25</v>
      </c>
      <c r="J59" s="60" t="s">
        <v>19</v>
      </c>
      <c r="K59" s="60" t="s">
        <v>19</v>
      </c>
      <c r="L59" s="60" t="s">
        <v>20</v>
      </c>
      <c r="M59" s="60" t="s">
        <v>19</v>
      </c>
      <c r="N59" s="60" t="s">
        <v>19</v>
      </c>
      <c r="O59" s="60" t="s">
        <v>19</v>
      </c>
      <c r="P59" s="60" t="s">
        <v>19</v>
      </c>
      <c r="Q59" s="60" t="s">
        <v>19</v>
      </c>
      <c r="R59" s="76" t="s">
        <v>91</v>
      </c>
      <c r="S59" s="62" t="s">
        <v>0</v>
      </c>
      <c r="T59" s="1">
        <f>1417.5-141.8-26.5</f>
        <v>1249.2</v>
      </c>
      <c r="U59" s="1">
        <v>1000</v>
      </c>
      <c r="V59" s="1">
        <v>1000</v>
      </c>
      <c r="W59" s="1">
        <v>1000</v>
      </c>
      <c r="X59" s="1">
        <v>1000</v>
      </c>
      <c r="Y59" s="1">
        <v>1000</v>
      </c>
      <c r="Z59" s="66">
        <f>T59+U59+V59+W59+X59+Y59</f>
        <v>6249.2</v>
      </c>
      <c r="AA59" s="65">
        <v>2023</v>
      </c>
      <c r="AB59" s="129"/>
      <c r="AC59" s="78"/>
      <c r="AD59" s="78"/>
    </row>
    <row r="60" spans="1:33" s="57" customFormat="1" ht="47.25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54" t="s">
        <v>92</v>
      </c>
      <c r="S60" s="44" t="s">
        <v>39</v>
      </c>
      <c r="T60" s="2">
        <v>3</v>
      </c>
      <c r="U60" s="2">
        <v>3</v>
      </c>
      <c r="V60" s="2">
        <v>3</v>
      </c>
      <c r="W60" s="2">
        <v>3</v>
      </c>
      <c r="X60" s="2">
        <v>3</v>
      </c>
      <c r="Y60" s="2">
        <v>3</v>
      </c>
      <c r="Z60" s="48">
        <v>3</v>
      </c>
      <c r="AA60" s="44">
        <v>2023</v>
      </c>
      <c r="AB60" s="137"/>
      <c r="AC60" s="115"/>
      <c r="AD60" s="115"/>
    </row>
    <row r="61" spans="1:33" s="79" customFormat="1" ht="31.5" x14ac:dyDescent="0.25">
      <c r="A61" s="60" t="s">
        <v>19</v>
      </c>
      <c r="B61" s="60" t="s">
        <v>19</v>
      </c>
      <c r="C61" s="60" t="s">
        <v>25</v>
      </c>
      <c r="D61" s="60" t="s">
        <v>19</v>
      </c>
      <c r="E61" s="60" t="s">
        <v>22</v>
      </c>
      <c r="F61" s="60" t="s">
        <v>19</v>
      </c>
      <c r="G61" s="60" t="s">
        <v>23</v>
      </c>
      <c r="H61" s="60" t="s">
        <v>20</v>
      </c>
      <c r="I61" s="60" t="s">
        <v>25</v>
      </c>
      <c r="J61" s="60" t="s">
        <v>19</v>
      </c>
      <c r="K61" s="60" t="s">
        <v>19</v>
      </c>
      <c r="L61" s="60" t="s">
        <v>20</v>
      </c>
      <c r="M61" s="60" t="s">
        <v>19</v>
      </c>
      <c r="N61" s="60" t="s">
        <v>19</v>
      </c>
      <c r="O61" s="60" t="s">
        <v>19</v>
      </c>
      <c r="P61" s="60" t="s">
        <v>19</v>
      </c>
      <c r="Q61" s="60" t="s">
        <v>19</v>
      </c>
      <c r="R61" s="76" t="s">
        <v>93</v>
      </c>
      <c r="S61" s="62" t="s">
        <v>0</v>
      </c>
      <c r="T61" s="1">
        <f>1115-77.4</f>
        <v>1037.5999999999999</v>
      </c>
      <c r="U61" s="1">
        <v>1100</v>
      </c>
      <c r="V61" s="1">
        <v>1100</v>
      </c>
      <c r="W61" s="1">
        <v>1100</v>
      </c>
      <c r="X61" s="1">
        <v>1100</v>
      </c>
      <c r="Y61" s="1">
        <v>1100</v>
      </c>
      <c r="Z61" s="66">
        <f>T61+U61+V61+W61+X61+Y61</f>
        <v>6537.6</v>
      </c>
      <c r="AA61" s="65">
        <v>2023</v>
      </c>
      <c r="AB61" s="34"/>
      <c r="AC61" s="78"/>
      <c r="AD61" s="78"/>
    </row>
    <row r="62" spans="1:33" s="57" customFormat="1" ht="47.25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54" t="s">
        <v>94</v>
      </c>
      <c r="S62" s="44" t="s">
        <v>39</v>
      </c>
      <c r="T62" s="47">
        <v>4</v>
      </c>
      <c r="U62" s="47">
        <v>4</v>
      </c>
      <c r="V62" s="47">
        <v>4</v>
      </c>
      <c r="W62" s="47">
        <v>4</v>
      </c>
      <c r="X62" s="47">
        <v>4</v>
      </c>
      <c r="Y62" s="47">
        <v>4</v>
      </c>
      <c r="Z62" s="55">
        <v>4</v>
      </c>
      <c r="AA62" s="44">
        <v>2023</v>
      </c>
      <c r="AB62" s="138"/>
      <c r="AC62" s="123"/>
      <c r="AD62" s="117"/>
    </row>
    <row r="63" spans="1:33" s="79" customFormat="1" ht="31.5" x14ac:dyDescent="0.25">
      <c r="A63" s="60" t="s">
        <v>19</v>
      </c>
      <c r="B63" s="60" t="s">
        <v>19</v>
      </c>
      <c r="C63" s="60" t="s">
        <v>22</v>
      </c>
      <c r="D63" s="60" t="s">
        <v>19</v>
      </c>
      <c r="E63" s="60" t="s">
        <v>22</v>
      </c>
      <c r="F63" s="60" t="s">
        <v>19</v>
      </c>
      <c r="G63" s="60" t="s">
        <v>23</v>
      </c>
      <c r="H63" s="60" t="s">
        <v>20</v>
      </c>
      <c r="I63" s="60" t="s">
        <v>25</v>
      </c>
      <c r="J63" s="60" t="s">
        <v>19</v>
      </c>
      <c r="K63" s="60" t="s">
        <v>19</v>
      </c>
      <c r="L63" s="60" t="s">
        <v>20</v>
      </c>
      <c r="M63" s="60" t="s">
        <v>19</v>
      </c>
      <c r="N63" s="60" t="s">
        <v>19</v>
      </c>
      <c r="O63" s="60" t="s">
        <v>19</v>
      </c>
      <c r="P63" s="60" t="s">
        <v>19</v>
      </c>
      <c r="Q63" s="60" t="s">
        <v>19</v>
      </c>
      <c r="R63" s="76" t="s">
        <v>93</v>
      </c>
      <c r="S63" s="62" t="s">
        <v>0</v>
      </c>
      <c r="T63" s="1">
        <f>962.3-96.3-88.8</f>
        <v>777.2</v>
      </c>
      <c r="U63" s="1">
        <v>800</v>
      </c>
      <c r="V63" s="1">
        <v>800</v>
      </c>
      <c r="W63" s="1">
        <v>800</v>
      </c>
      <c r="X63" s="1">
        <v>800</v>
      </c>
      <c r="Y63" s="1">
        <v>800</v>
      </c>
      <c r="Z63" s="66">
        <f>T63+U63+V63+W63+X63+Y63</f>
        <v>4777.2</v>
      </c>
      <c r="AA63" s="65">
        <v>2023</v>
      </c>
      <c r="AB63" s="131"/>
    </row>
    <row r="64" spans="1:33" s="79" customFormat="1" ht="48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54" t="s">
        <v>95</v>
      </c>
      <c r="S64" s="44" t="s">
        <v>39</v>
      </c>
      <c r="T64" s="47">
        <v>2</v>
      </c>
      <c r="U64" s="47">
        <v>2</v>
      </c>
      <c r="V64" s="47">
        <v>2</v>
      </c>
      <c r="W64" s="47">
        <v>2</v>
      </c>
      <c r="X64" s="47">
        <v>2</v>
      </c>
      <c r="Y64" s="47">
        <v>2</v>
      </c>
      <c r="Z64" s="55">
        <v>2</v>
      </c>
      <c r="AA64" s="144">
        <v>2023</v>
      </c>
      <c r="AB64" s="34"/>
    </row>
    <row r="65" spans="1:33" s="57" customFormat="1" ht="47.25" hidden="1" customHeigh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71" t="s">
        <v>96</v>
      </c>
      <c r="S65" s="72" t="s">
        <v>8</v>
      </c>
      <c r="T65" s="73">
        <v>0</v>
      </c>
      <c r="U65" s="73">
        <v>0</v>
      </c>
      <c r="V65" s="73">
        <v>0</v>
      </c>
      <c r="W65" s="73">
        <v>0</v>
      </c>
      <c r="X65" s="73">
        <v>0</v>
      </c>
      <c r="Y65" s="73">
        <v>0</v>
      </c>
      <c r="Z65" s="74">
        <f>T65+U65+V65+W65+X65+Y65</f>
        <v>0</v>
      </c>
      <c r="AA65" s="23">
        <v>2023</v>
      </c>
      <c r="AB65" s="138"/>
      <c r="AC65" s="112"/>
      <c r="AD65" s="115"/>
    </row>
    <row r="66" spans="1:33" s="79" customFormat="1" ht="31.5" x14ac:dyDescent="0.25">
      <c r="A66" s="60" t="s">
        <v>19</v>
      </c>
      <c r="B66" s="60" t="s">
        <v>19</v>
      </c>
      <c r="C66" s="60" t="s">
        <v>26</v>
      </c>
      <c r="D66" s="60" t="s">
        <v>19</v>
      </c>
      <c r="E66" s="60" t="s">
        <v>22</v>
      </c>
      <c r="F66" s="60" t="s">
        <v>19</v>
      </c>
      <c r="G66" s="60" t="s">
        <v>23</v>
      </c>
      <c r="H66" s="60" t="s">
        <v>20</v>
      </c>
      <c r="I66" s="60" t="s">
        <v>25</v>
      </c>
      <c r="J66" s="60" t="s">
        <v>19</v>
      </c>
      <c r="K66" s="60" t="s">
        <v>19</v>
      </c>
      <c r="L66" s="60" t="s">
        <v>20</v>
      </c>
      <c r="M66" s="60" t="s">
        <v>19</v>
      </c>
      <c r="N66" s="60" t="s">
        <v>19</v>
      </c>
      <c r="O66" s="60" t="s">
        <v>19</v>
      </c>
      <c r="P66" s="60" t="s">
        <v>19</v>
      </c>
      <c r="Q66" s="60" t="s">
        <v>19</v>
      </c>
      <c r="R66" s="76" t="s">
        <v>97</v>
      </c>
      <c r="S66" s="62" t="s">
        <v>0</v>
      </c>
      <c r="T66" s="1">
        <f>646.8+300+1489-55+86.2-453.6</f>
        <v>2013.4</v>
      </c>
      <c r="U66" s="1">
        <f>600+369.3</f>
        <v>969.3</v>
      </c>
      <c r="V66" s="1">
        <v>600</v>
      </c>
      <c r="W66" s="1">
        <v>600</v>
      </c>
      <c r="X66" s="1">
        <v>600</v>
      </c>
      <c r="Y66" s="1">
        <v>600</v>
      </c>
      <c r="Z66" s="66">
        <f>T66+U66+V66+W66+X66+Y66</f>
        <v>5382.7</v>
      </c>
      <c r="AA66" s="65">
        <v>2023</v>
      </c>
      <c r="AB66" s="131"/>
    </row>
    <row r="67" spans="1:33" s="79" customFormat="1" ht="47.25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54" t="s">
        <v>98</v>
      </c>
      <c r="S67" s="44" t="s">
        <v>39</v>
      </c>
      <c r="T67" s="47">
        <v>1</v>
      </c>
      <c r="U67" s="47">
        <v>1</v>
      </c>
      <c r="V67" s="47">
        <v>1</v>
      </c>
      <c r="W67" s="47">
        <v>1</v>
      </c>
      <c r="X67" s="47">
        <v>1</v>
      </c>
      <c r="Y67" s="47">
        <v>1</v>
      </c>
      <c r="Z67" s="55">
        <v>1</v>
      </c>
      <c r="AA67" s="44">
        <v>2023</v>
      </c>
      <c r="AB67" s="34"/>
    </row>
    <row r="68" spans="1:33" s="79" customFormat="1" ht="31.5" x14ac:dyDescent="0.25">
      <c r="A68" s="60"/>
      <c r="B68" s="60"/>
      <c r="C68" s="60"/>
      <c r="D68" s="60" t="s">
        <v>19</v>
      </c>
      <c r="E68" s="60" t="s">
        <v>22</v>
      </c>
      <c r="F68" s="60" t="s">
        <v>19</v>
      </c>
      <c r="G68" s="60" t="s">
        <v>23</v>
      </c>
      <c r="H68" s="60" t="s">
        <v>20</v>
      </c>
      <c r="I68" s="60" t="s">
        <v>25</v>
      </c>
      <c r="J68" s="60" t="s">
        <v>19</v>
      </c>
      <c r="K68" s="60" t="s">
        <v>19</v>
      </c>
      <c r="L68" s="60" t="s">
        <v>20</v>
      </c>
      <c r="M68" s="60" t="s">
        <v>19</v>
      </c>
      <c r="N68" s="60" t="s">
        <v>19</v>
      </c>
      <c r="O68" s="60" t="s">
        <v>19</v>
      </c>
      <c r="P68" s="60" t="s">
        <v>19</v>
      </c>
      <c r="Q68" s="60" t="s">
        <v>19</v>
      </c>
      <c r="R68" s="75" t="s">
        <v>99</v>
      </c>
      <c r="S68" s="65" t="s">
        <v>0</v>
      </c>
      <c r="T68" s="66">
        <f t="shared" ref="T68:Y69" si="18">T70+T72+T74</f>
        <v>3922.5999999999995</v>
      </c>
      <c r="U68" s="66">
        <f t="shared" si="18"/>
        <v>6362.6</v>
      </c>
      <c r="V68" s="66">
        <f t="shared" si="18"/>
        <v>6362.6</v>
      </c>
      <c r="W68" s="66">
        <f t="shared" si="18"/>
        <v>6362.6</v>
      </c>
      <c r="X68" s="66">
        <f t="shared" si="18"/>
        <v>6362.6</v>
      </c>
      <c r="Y68" s="66">
        <f t="shared" si="18"/>
        <v>6362.6</v>
      </c>
      <c r="Z68" s="66">
        <f>T68+U68+V68+W68+X68+Y68</f>
        <v>35735.599999999999</v>
      </c>
      <c r="AA68" s="65">
        <v>2023</v>
      </c>
      <c r="AB68" s="131"/>
    </row>
    <row r="69" spans="1:33" s="57" customFormat="1" ht="47.25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68" t="s">
        <v>100</v>
      </c>
      <c r="S69" s="144" t="s">
        <v>39</v>
      </c>
      <c r="T69" s="2">
        <f t="shared" si="18"/>
        <v>20</v>
      </c>
      <c r="U69" s="2">
        <f t="shared" si="18"/>
        <v>20</v>
      </c>
      <c r="V69" s="2">
        <f t="shared" si="18"/>
        <v>20</v>
      </c>
      <c r="W69" s="2">
        <f t="shared" si="18"/>
        <v>20</v>
      </c>
      <c r="X69" s="2">
        <f t="shared" si="18"/>
        <v>20</v>
      </c>
      <c r="Y69" s="2">
        <f t="shared" si="18"/>
        <v>20</v>
      </c>
      <c r="Z69" s="55">
        <v>20</v>
      </c>
      <c r="AA69" s="44">
        <v>2023</v>
      </c>
      <c r="AB69" s="34"/>
    </row>
    <row r="70" spans="1:33" s="79" customFormat="1" ht="31.5" x14ac:dyDescent="0.25">
      <c r="A70" s="60" t="s">
        <v>19</v>
      </c>
      <c r="B70" s="60" t="s">
        <v>19</v>
      </c>
      <c r="C70" s="60" t="s">
        <v>23</v>
      </c>
      <c r="D70" s="60" t="s">
        <v>19</v>
      </c>
      <c r="E70" s="60" t="s">
        <v>22</v>
      </c>
      <c r="F70" s="60" t="s">
        <v>19</v>
      </c>
      <c r="G70" s="60" t="s">
        <v>23</v>
      </c>
      <c r="H70" s="60" t="s">
        <v>20</v>
      </c>
      <c r="I70" s="60" t="s">
        <v>25</v>
      </c>
      <c r="J70" s="60" t="s">
        <v>19</v>
      </c>
      <c r="K70" s="60" t="s">
        <v>19</v>
      </c>
      <c r="L70" s="60" t="s">
        <v>20</v>
      </c>
      <c r="M70" s="60" t="s">
        <v>19</v>
      </c>
      <c r="N70" s="60" t="s">
        <v>19</v>
      </c>
      <c r="O70" s="60" t="s">
        <v>19</v>
      </c>
      <c r="P70" s="60" t="s">
        <v>19</v>
      </c>
      <c r="Q70" s="60" t="s">
        <v>19</v>
      </c>
      <c r="R70" s="76" t="s">
        <v>101</v>
      </c>
      <c r="S70" s="62" t="s">
        <v>0</v>
      </c>
      <c r="T70" s="1">
        <f>2867.4-463.9-79-1000</f>
        <v>1324.5</v>
      </c>
      <c r="U70" s="1">
        <v>1867.4</v>
      </c>
      <c r="V70" s="1">
        <v>1867.4</v>
      </c>
      <c r="W70" s="1">
        <v>1867.4</v>
      </c>
      <c r="X70" s="1">
        <v>1867.4</v>
      </c>
      <c r="Y70" s="1">
        <v>1867.4</v>
      </c>
      <c r="Z70" s="66">
        <f>T70+U70+V70+W70+X70+Y70</f>
        <v>10661.5</v>
      </c>
      <c r="AA70" s="65">
        <v>2023</v>
      </c>
      <c r="AB70" s="130"/>
      <c r="AC70" s="119"/>
      <c r="AD70" s="119"/>
      <c r="AF70" s="120"/>
      <c r="AG70" s="119"/>
    </row>
    <row r="71" spans="1:33" s="57" customFormat="1" ht="47.25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54" t="s">
        <v>102</v>
      </c>
      <c r="S71" s="44" t="s">
        <v>39</v>
      </c>
      <c r="T71" s="2">
        <v>14</v>
      </c>
      <c r="U71" s="2">
        <v>14</v>
      </c>
      <c r="V71" s="2">
        <v>14</v>
      </c>
      <c r="W71" s="2">
        <v>14</v>
      </c>
      <c r="X71" s="2">
        <v>14</v>
      </c>
      <c r="Y71" s="2">
        <v>14</v>
      </c>
      <c r="Z71" s="55">
        <v>14</v>
      </c>
      <c r="AA71" s="44">
        <v>2023</v>
      </c>
      <c r="AB71" s="34"/>
    </row>
    <row r="72" spans="1:33" s="79" customFormat="1" ht="31.5" x14ac:dyDescent="0.25">
      <c r="A72" s="60" t="s">
        <v>19</v>
      </c>
      <c r="B72" s="60" t="s">
        <v>19</v>
      </c>
      <c r="C72" s="60" t="s">
        <v>25</v>
      </c>
      <c r="D72" s="60" t="s">
        <v>19</v>
      </c>
      <c r="E72" s="60" t="s">
        <v>22</v>
      </c>
      <c r="F72" s="60" t="s">
        <v>19</v>
      </c>
      <c r="G72" s="60" t="s">
        <v>23</v>
      </c>
      <c r="H72" s="60" t="s">
        <v>20</v>
      </c>
      <c r="I72" s="60" t="s">
        <v>25</v>
      </c>
      <c r="J72" s="60" t="s">
        <v>19</v>
      </c>
      <c r="K72" s="60" t="s">
        <v>19</v>
      </c>
      <c r="L72" s="60" t="s">
        <v>20</v>
      </c>
      <c r="M72" s="60" t="s">
        <v>19</v>
      </c>
      <c r="N72" s="60" t="s">
        <v>19</v>
      </c>
      <c r="O72" s="60" t="s">
        <v>19</v>
      </c>
      <c r="P72" s="60" t="s">
        <v>19</v>
      </c>
      <c r="Q72" s="60" t="s">
        <v>19</v>
      </c>
      <c r="R72" s="76" t="s">
        <v>101</v>
      </c>
      <c r="S72" s="62" t="s">
        <v>0</v>
      </c>
      <c r="T72" s="1">
        <f>808-306.2</f>
        <v>501.8</v>
      </c>
      <c r="U72" s="1">
        <v>870.5</v>
      </c>
      <c r="V72" s="1">
        <v>870.5</v>
      </c>
      <c r="W72" s="1">
        <v>870.5</v>
      </c>
      <c r="X72" s="1">
        <v>870.5</v>
      </c>
      <c r="Y72" s="1">
        <v>870.5</v>
      </c>
      <c r="Z72" s="66">
        <f>T72+U72+V72+W72+X72+Y72</f>
        <v>4854.3</v>
      </c>
      <c r="AA72" s="65">
        <v>2023</v>
      </c>
      <c r="AB72" s="131"/>
    </row>
    <row r="73" spans="1:33" s="57" customFormat="1" ht="48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54" t="s">
        <v>103</v>
      </c>
      <c r="S73" s="44" t="s">
        <v>39</v>
      </c>
      <c r="T73" s="2">
        <v>1</v>
      </c>
      <c r="U73" s="2">
        <v>1</v>
      </c>
      <c r="V73" s="2">
        <v>1</v>
      </c>
      <c r="W73" s="2">
        <v>1</v>
      </c>
      <c r="X73" s="2">
        <v>1</v>
      </c>
      <c r="Y73" s="2">
        <v>1</v>
      </c>
      <c r="Z73" s="48">
        <v>1</v>
      </c>
      <c r="AA73" s="44">
        <v>2023</v>
      </c>
      <c r="AB73" s="138"/>
      <c r="AC73" s="119"/>
      <c r="AD73" s="56"/>
    </row>
    <row r="74" spans="1:33" s="79" customFormat="1" ht="31.5" x14ac:dyDescent="0.25">
      <c r="A74" s="60" t="s">
        <v>19</v>
      </c>
      <c r="B74" s="60" t="s">
        <v>19</v>
      </c>
      <c r="C74" s="60" t="s">
        <v>22</v>
      </c>
      <c r="D74" s="60" t="s">
        <v>19</v>
      </c>
      <c r="E74" s="60" t="s">
        <v>22</v>
      </c>
      <c r="F74" s="60" t="s">
        <v>19</v>
      </c>
      <c r="G74" s="60" t="s">
        <v>23</v>
      </c>
      <c r="H74" s="60" t="s">
        <v>20</v>
      </c>
      <c r="I74" s="60" t="s">
        <v>25</v>
      </c>
      <c r="J74" s="60" t="s">
        <v>19</v>
      </c>
      <c r="K74" s="60" t="s">
        <v>19</v>
      </c>
      <c r="L74" s="60" t="s">
        <v>20</v>
      </c>
      <c r="M74" s="60" t="s">
        <v>19</v>
      </c>
      <c r="N74" s="60" t="s">
        <v>19</v>
      </c>
      <c r="O74" s="60" t="s">
        <v>19</v>
      </c>
      <c r="P74" s="60" t="s">
        <v>19</v>
      </c>
      <c r="Q74" s="60" t="s">
        <v>19</v>
      </c>
      <c r="R74" s="76" t="s">
        <v>104</v>
      </c>
      <c r="S74" s="62" t="s">
        <v>0</v>
      </c>
      <c r="T74" s="1">
        <f>3665-832.4-710-26.3</f>
        <v>2096.2999999999997</v>
      </c>
      <c r="U74" s="1">
        <v>3624.7</v>
      </c>
      <c r="V74" s="1">
        <v>3624.7</v>
      </c>
      <c r="W74" s="1">
        <v>3624.7</v>
      </c>
      <c r="X74" s="1">
        <v>3624.7</v>
      </c>
      <c r="Y74" s="1">
        <v>3624.7</v>
      </c>
      <c r="Z74" s="66">
        <f>T74+U74+V74+W74+X74+Y74</f>
        <v>20219.800000000003</v>
      </c>
      <c r="AA74" s="65">
        <v>2023</v>
      </c>
      <c r="AB74" s="131"/>
    </row>
    <row r="75" spans="1:33" s="79" customFormat="1" ht="48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54" t="s">
        <v>105</v>
      </c>
      <c r="S75" s="44" t="s">
        <v>39</v>
      </c>
      <c r="T75" s="47">
        <v>5</v>
      </c>
      <c r="U75" s="47">
        <v>5</v>
      </c>
      <c r="V75" s="47">
        <v>5</v>
      </c>
      <c r="W75" s="47">
        <v>5</v>
      </c>
      <c r="X75" s="47">
        <v>5</v>
      </c>
      <c r="Y75" s="47">
        <v>5</v>
      </c>
      <c r="Z75" s="55">
        <v>5</v>
      </c>
      <c r="AA75" s="80">
        <v>2023</v>
      </c>
      <c r="AB75" s="134"/>
      <c r="AC75" s="119"/>
    </row>
    <row r="76" spans="1:33" s="79" customFormat="1" ht="31.5" x14ac:dyDescent="0.25">
      <c r="A76" s="60"/>
      <c r="B76" s="60"/>
      <c r="C76" s="60"/>
      <c r="D76" s="60" t="s">
        <v>19</v>
      </c>
      <c r="E76" s="60" t="s">
        <v>22</v>
      </c>
      <c r="F76" s="60" t="s">
        <v>19</v>
      </c>
      <c r="G76" s="60" t="s">
        <v>23</v>
      </c>
      <c r="H76" s="60" t="s">
        <v>20</v>
      </c>
      <c r="I76" s="60" t="s">
        <v>25</v>
      </c>
      <c r="J76" s="60" t="s">
        <v>19</v>
      </c>
      <c r="K76" s="60" t="s">
        <v>19</v>
      </c>
      <c r="L76" s="60" t="s">
        <v>20</v>
      </c>
      <c r="M76" s="60" t="s">
        <v>19</v>
      </c>
      <c r="N76" s="60" t="s">
        <v>19</v>
      </c>
      <c r="O76" s="60" t="s">
        <v>19</v>
      </c>
      <c r="P76" s="60" t="s">
        <v>19</v>
      </c>
      <c r="Q76" s="60" t="s">
        <v>19</v>
      </c>
      <c r="R76" s="75" t="s">
        <v>106</v>
      </c>
      <c r="S76" s="65" t="s">
        <v>0</v>
      </c>
      <c r="T76" s="66">
        <f t="shared" ref="T76:Y76" si="19">T80+T84+T88+T92+T96</f>
        <v>4566.3999999999996</v>
      </c>
      <c r="U76" s="66">
        <f>U80+U84+U88+U92+U96</f>
        <v>7659.7</v>
      </c>
      <c r="V76" s="66">
        <f t="shared" si="19"/>
        <v>7800</v>
      </c>
      <c r="W76" s="66">
        <f t="shared" si="19"/>
        <v>7800</v>
      </c>
      <c r="X76" s="66">
        <f t="shared" si="19"/>
        <v>7800</v>
      </c>
      <c r="Y76" s="66">
        <f t="shared" si="19"/>
        <v>7800</v>
      </c>
      <c r="Z76" s="66">
        <f>SUM(T76:Y76)</f>
        <v>43426.1</v>
      </c>
      <c r="AA76" s="65">
        <v>2023</v>
      </c>
      <c r="AB76" s="131"/>
    </row>
    <row r="77" spans="1:33" s="79" customFormat="1" ht="47.25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68" t="s">
        <v>107</v>
      </c>
      <c r="S77" s="144" t="s">
        <v>39</v>
      </c>
      <c r="T77" s="47">
        <f t="shared" ref="T77:Y78" si="20">T81+T85+T89+T93</f>
        <v>65</v>
      </c>
      <c r="U77" s="47">
        <f t="shared" si="20"/>
        <v>182</v>
      </c>
      <c r="V77" s="47">
        <f t="shared" si="20"/>
        <v>182</v>
      </c>
      <c r="W77" s="47">
        <f t="shared" si="20"/>
        <v>183</v>
      </c>
      <c r="X77" s="47">
        <f t="shared" si="20"/>
        <v>182</v>
      </c>
      <c r="Y77" s="47">
        <f t="shared" si="20"/>
        <v>182</v>
      </c>
      <c r="Z77" s="55">
        <f>T77+U77+V77+W77+X77+Y77</f>
        <v>976</v>
      </c>
      <c r="AA77" s="144">
        <v>2023</v>
      </c>
      <c r="AB77" s="34"/>
    </row>
    <row r="78" spans="1:33" s="79" customFormat="1" ht="31.5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68" t="s">
        <v>108</v>
      </c>
      <c r="S78" s="144" t="s">
        <v>39</v>
      </c>
      <c r="T78" s="47">
        <f t="shared" si="20"/>
        <v>16</v>
      </c>
      <c r="U78" s="47">
        <f t="shared" si="20"/>
        <v>17</v>
      </c>
      <c r="V78" s="47">
        <f t="shared" si="20"/>
        <v>17</v>
      </c>
      <c r="W78" s="47">
        <f t="shared" si="20"/>
        <v>17</v>
      </c>
      <c r="X78" s="47">
        <f t="shared" si="20"/>
        <v>17</v>
      </c>
      <c r="Y78" s="47">
        <f t="shared" si="20"/>
        <v>17</v>
      </c>
      <c r="Z78" s="55">
        <v>17</v>
      </c>
      <c r="AA78" s="144">
        <v>2023</v>
      </c>
      <c r="AB78" s="34"/>
    </row>
    <row r="79" spans="1:33" ht="63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68" t="s">
        <v>109</v>
      </c>
      <c r="S79" s="144" t="s">
        <v>39</v>
      </c>
      <c r="T79" s="47">
        <f>T83+T87+T91+T97+T95</f>
        <v>25</v>
      </c>
      <c r="U79" s="47">
        <f>U83+U87+U91+U97+U95</f>
        <v>54</v>
      </c>
      <c r="V79" s="47">
        <f>V83+V87+V91+V97+V95</f>
        <v>54</v>
      </c>
      <c r="W79" s="47">
        <f t="shared" ref="W79:Y79" si="21">W83+W87+W91+W97+W95</f>
        <v>54</v>
      </c>
      <c r="X79" s="47">
        <f t="shared" si="21"/>
        <v>54</v>
      </c>
      <c r="Y79" s="47">
        <f t="shared" si="21"/>
        <v>54</v>
      </c>
      <c r="Z79" s="55">
        <f>T79+U79+V79+W79+X79+Y79</f>
        <v>295</v>
      </c>
      <c r="AA79" s="44">
        <v>2023</v>
      </c>
      <c r="AB79" s="134"/>
      <c r="AC79" s="112"/>
    </row>
    <row r="80" spans="1:33" ht="31.5" x14ac:dyDescent="0.25">
      <c r="A80" s="60" t="s">
        <v>19</v>
      </c>
      <c r="B80" s="60" t="s">
        <v>19</v>
      </c>
      <c r="C80" s="60" t="s">
        <v>23</v>
      </c>
      <c r="D80" s="60" t="s">
        <v>19</v>
      </c>
      <c r="E80" s="60" t="s">
        <v>22</v>
      </c>
      <c r="F80" s="60" t="s">
        <v>19</v>
      </c>
      <c r="G80" s="60" t="s">
        <v>23</v>
      </c>
      <c r="H80" s="60" t="s">
        <v>20</v>
      </c>
      <c r="I80" s="60" t="s">
        <v>25</v>
      </c>
      <c r="J80" s="60" t="s">
        <v>19</v>
      </c>
      <c r="K80" s="60" t="s">
        <v>19</v>
      </c>
      <c r="L80" s="60" t="s">
        <v>20</v>
      </c>
      <c r="M80" s="60" t="s">
        <v>19</v>
      </c>
      <c r="N80" s="60" t="s">
        <v>19</v>
      </c>
      <c r="O80" s="60" t="s">
        <v>19</v>
      </c>
      <c r="P80" s="60" t="s">
        <v>19</v>
      </c>
      <c r="Q80" s="60" t="s">
        <v>19</v>
      </c>
      <c r="R80" s="76" t="s">
        <v>110</v>
      </c>
      <c r="S80" s="62" t="s">
        <v>0</v>
      </c>
      <c r="T80" s="1">
        <f>1780.9-223.4+140-15.2</f>
        <v>1682.3</v>
      </c>
      <c r="U80" s="1">
        <v>1650</v>
      </c>
      <c r="V80" s="1">
        <v>1650</v>
      </c>
      <c r="W80" s="1">
        <v>1650</v>
      </c>
      <c r="X80" s="1">
        <v>1650</v>
      </c>
      <c r="Y80" s="1">
        <v>1650</v>
      </c>
      <c r="Z80" s="66">
        <f>T80+U80+V80+W80+X80+Y80</f>
        <v>9932.2999999999993</v>
      </c>
      <c r="AA80" s="65">
        <v>2023</v>
      </c>
      <c r="AB80" s="131"/>
    </row>
    <row r="81" spans="1:29" ht="46.15" customHeight="1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68" t="s">
        <v>111</v>
      </c>
      <c r="S81" s="144" t="s">
        <v>39</v>
      </c>
      <c r="T81" s="2">
        <v>33</v>
      </c>
      <c r="U81" s="2">
        <v>33</v>
      </c>
      <c r="V81" s="2">
        <v>33</v>
      </c>
      <c r="W81" s="2">
        <v>33</v>
      </c>
      <c r="X81" s="2">
        <v>33</v>
      </c>
      <c r="Y81" s="2">
        <v>33</v>
      </c>
      <c r="Z81" s="48">
        <f>T81+U81+V81+W81+X81+Y81</f>
        <v>198</v>
      </c>
      <c r="AA81" s="44">
        <v>2023</v>
      </c>
      <c r="AB81" s="34"/>
    </row>
    <row r="82" spans="1:29" ht="47.25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68" t="s">
        <v>112</v>
      </c>
      <c r="S82" s="144" t="s">
        <v>39</v>
      </c>
      <c r="T82" s="2">
        <v>4</v>
      </c>
      <c r="U82" s="2">
        <v>4</v>
      </c>
      <c r="V82" s="2">
        <v>4</v>
      </c>
      <c r="W82" s="2">
        <v>4</v>
      </c>
      <c r="X82" s="2">
        <v>4</v>
      </c>
      <c r="Y82" s="2">
        <v>4</v>
      </c>
      <c r="Z82" s="48">
        <v>4</v>
      </c>
      <c r="AA82" s="44">
        <v>2023</v>
      </c>
      <c r="AB82" s="34"/>
    </row>
    <row r="83" spans="1:29" ht="63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68" t="s">
        <v>317</v>
      </c>
      <c r="S83" s="144" t="s">
        <v>39</v>
      </c>
      <c r="T83" s="47">
        <v>0</v>
      </c>
      <c r="U83" s="47">
        <v>13</v>
      </c>
      <c r="V83" s="47">
        <v>13</v>
      </c>
      <c r="W83" s="47">
        <v>13</v>
      </c>
      <c r="X83" s="47">
        <v>13</v>
      </c>
      <c r="Y83" s="47">
        <v>13</v>
      </c>
      <c r="Z83" s="55">
        <f>T83+U83+V83+W83+X83+Y83</f>
        <v>65</v>
      </c>
      <c r="AA83" s="44">
        <v>2023</v>
      </c>
      <c r="AB83" s="134"/>
      <c r="AC83" s="112"/>
    </row>
    <row r="84" spans="1:29" ht="31.5" x14ac:dyDescent="0.25">
      <c r="A84" s="60" t="s">
        <v>19</v>
      </c>
      <c r="B84" s="60" t="s">
        <v>19</v>
      </c>
      <c r="C84" s="60" t="s">
        <v>25</v>
      </c>
      <c r="D84" s="60" t="s">
        <v>19</v>
      </c>
      <c r="E84" s="60" t="s">
        <v>22</v>
      </c>
      <c r="F84" s="60" t="s">
        <v>19</v>
      </c>
      <c r="G84" s="60" t="s">
        <v>23</v>
      </c>
      <c r="H84" s="60" t="s">
        <v>20</v>
      </c>
      <c r="I84" s="60" t="s">
        <v>25</v>
      </c>
      <c r="J84" s="60" t="s">
        <v>19</v>
      </c>
      <c r="K84" s="60" t="s">
        <v>19</v>
      </c>
      <c r="L84" s="60" t="s">
        <v>20</v>
      </c>
      <c r="M84" s="60" t="s">
        <v>19</v>
      </c>
      <c r="N84" s="60" t="s">
        <v>19</v>
      </c>
      <c r="O84" s="60" t="s">
        <v>19</v>
      </c>
      <c r="P84" s="60" t="s">
        <v>19</v>
      </c>
      <c r="Q84" s="60" t="s">
        <v>19</v>
      </c>
      <c r="R84" s="76" t="s">
        <v>113</v>
      </c>
      <c r="S84" s="62" t="s">
        <v>0</v>
      </c>
      <c r="T84" s="1">
        <f>1051.4-28.4-48.1</f>
        <v>974.90000000000009</v>
      </c>
      <c r="U84" s="1">
        <v>1450</v>
      </c>
      <c r="V84" s="1">
        <v>1450</v>
      </c>
      <c r="W84" s="1">
        <v>1450</v>
      </c>
      <c r="X84" s="1">
        <v>1450</v>
      </c>
      <c r="Y84" s="1">
        <v>1450</v>
      </c>
      <c r="Z84" s="66">
        <f>T84+U84+V84+W84+X84+Y84</f>
        <v>8224.9</v>
      </c>
      <c r="AA84" s="65">
        <v>2023</v>
      </c>
      <c r="AB84" s="130"/>
      <c r="AC84" s="119"/>
    </row>
    <row r="85" spans="1:29" ht="48" customHeight="1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68" t="s">
        <v>299</v>
      </c>
      <c r="S85" s="144" t="s">
        <v>39</v>
      </c>
      <c r="T85" s="47">
        <v>4</v>
      </c>
      <c r="U85" s="47">
        <v>8</v>
      </c>
      <c r="V85" s="47">
        <v>8</v>
      </c>
      <c r="W85" s="47">
        <v>8</v>
      </c>
      <c r="X85" s="47">
        <v>8</v>
      </c>
      <c r="Y85" s="47">
        <v>8</v>
      </c>
      <c r="Z85" s="55">
        <f>T85+U85+V85+W85+X85+Y85</f>
        <v>44</v>
      </c>
      <c r="AA85" s="44">
        <v>2023</v>
      </c>
      <c r="AB85" s="34"/>
    </row>
    <row r="86" spans="1:29" s="8" customFormat="1" ht="47.25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68" t="s">
        <v>300</v>
      </c>
      <c r="S86" s="144" t="s">
        <v>39</v>
      </c>
      <c r="T86" s="47">
        <v>5</v>
      </c>
      <c r="U86" s="47">
        <v>5</v>
      </c>
      <c r="V86" s="47">
        <v>5</v>
      </c>
      <c r="W86" s="47">
        <v>5</v>
      </c>
      <c r="X86" s="47">
        <v>5</v>
      </c>
      <c r="Y86" s="47">
        <v>5</v>
      </c>
      <c r="Z86" s="55">
        <v>5</v>
      </c>
      <c r="AA86" s="44">
        <v>2023</v>
      </c>
      <c r="AB86" s="134"/>
      <c r="AC86" s="112"/>
    </row>
    <row r="87" spans="1:29" ht="63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68" t="s">
        <v>318</v>
      </c>
      <c r="S87" s="144" t="s">
        <v>39</v>
      </c>
      <c r="T87" s="47">
        <v>0</v>
      </c>
      <c r="U87" s="47">
        <v>16</v>
      </c>
      <c r="V87" s="47">
        <v>16</v>
      </c>
      <c r="W87" s="47">
        <v>16</v>
      </c>
      <c r="X87" s="47">
        <v>16</v>
      </c>
      <c r="Y87" s="47">
        <v>16</v>
      </c>
      <c r="Z87" s="55">
        <f>T87+U87+V87+W87+X87+Y87</f>
        <v>80</v>
      </c>
      <c r="AA87" s="44">
        <v>2023</v>
      </c>
      <c r="AB87" s="134"/>
      <c r="AC87" s="112"/>
    </row>
    <row r="88" spans="1:29" ht="31.5" x14ac:dyDescent="0.25">
      <c r="A88" s="60" t="s">
        <v>19</v>
      </c>
      <c r="B88" s="60" t="s">
        <v>19</v>
      </c>
      <c r="C88" s="60" t="s">
        <v>22</v>
      </c>
      <c r="D88" s="60" t="s">
        <v>19</v>
      </c>
      <c r="E88" s="60" t="s">
        <v>22</v>
      </c>
      <c r="F88" s="60" t="s">
        <v>19</v>
      </c>
      <c r="G88" s="60" t="s">
        <v>23</v>
      </c>
      <c r="H88" s="60" t="s">
        <v>20</v>
      </c>
      <c r="I88" s="60" t="s">
        <v>25</v>
      </c>
      <c r="J88" s="60" t="s">
        <v>19</v>
      </c>
      <c r="K88" s="60" t="s">
        <v>19</v>
      </c>
      <c r="L88" s="60" t="s">
        <v>20</v>
      </c>
      <c r="M88" s="60" t="s">
        <v>19</v>
      </c>
      <c r="N88" s="60" t="s">
        <v>19</v>
      </c>
      <c r="O88" s="60" t="s">
        <v>19</v>
      </c>
      <c r="P88" s="60" t="s">
        <v>19</v>
      </c>
      <c r="Q88" s="60" t="s">
        <v>19</v>
      </c>
      <c r="R88" s="76" t="s">
        <v>113</v>
      </c>
      <c r="S88" s="62" t="s">
        <v>0</v>
      </c>
      <c r="T88" s="1">
        <f>1351.9-396.7-310.9-34</f>
        <v>610.30000000000007</v>
      </c>
      <c r="U88" s="1">
        <v>1750</v>
      </c>
      <c r="V88" s="1">
        <v>1750</v>
      </c>
      <c r="W88" s="1">
        <v>1750</v>
      </c>
      <c r="X88" s="1">
        <v>1750</v>
      </c>
      <c r="Y88" s="1">
        <v>1750</v>
      </c>
      <c r="Z88" s="66">
        <f>T88+U88+V88+W88+X88+Y88</f>
        <v>9360.2999999999993</v>
      </c>
      <c r="AA88" s="65">
        <v>2023</v>
      </c>
      <c r="AB88" s="130"/>
      <c r="AC88" s="112"/>
    </row>
    <row r="89" spans="1:29" ht="55.15" customHeight="1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68" t="s">
        <v>301</v>
      </c>
      <c r="S89" s="144" t="s">
        <v>39</v>
      </c>
      <c r="T89" s="2">
        <v>21</v>
      </c>
      <c r="U89" s="2">
        <v>19</v>
      </c>
      <c r="V89" s="2">
        <v>19</v>
      </c>
      <c r="W89" s="2">
        <v>20</v>
      </c>
      <c r="X89" s="2">
        <v>19</v>
      </c>
      <c r="Y89" s="2">
        <v>19</v>
      </c>
      <c r="Z89" s="48">
        <f>T89+U89+V89+W89+X89+Y89</f>
        <v>117</v>
      </c>
      <c r="AA89" s="44">
        <v>2023</v>
      </c>
      <c r="AB89" s="134"/>
      <c r="AC89" s="112"/>
    </row>
    <row r="90" spans="1:29" ht="47.25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68" t="s">
        <v>302</v>
      </c>
      <c r="S90" s="144" t="s">
        <v>39</v>
      </c>
      <c r="T90" s="2">
        <v>4</v>
      </c>
      <c r="U90" s="2">
        <v>5</v>
      </c>
      <c r="V90" s="2">
        <v>5</v>
      </c>
      <c r="W90" s="2">
        <v>5</v>
      </c>
      <c r="X90" s="2">
        <v>5</v>
      </c>
      <c r="Y90" s="2">
        <v>5</v>
      </c>
      <c r="Z90" s="48">
        <v>5</v>
      </c>
      <c r="AA90" s="44">
        <v>2023</v>
      </c>
      <c r="AB90" s="138"/>
      <c r="AC90" s="112"/>
    </row>
    <row r="91" spans="1:29" ht="63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68" t="s">
        <v>319</v>
      </c>
      <c r="S91" s="144" t="s">
        <v>39</v>
      </c>
      <c r="T91" s="47">
        <v>0</v>
      </c>
      <c r="U91" s="47">
        <v>10</v>
      </c>
      <c r="V91" s="47">
        <v>10</v>
      </c>
      <c r="W91" s="47">
        <v>10</v>
      </c>
      <c r="X91" s="47">
        <v>10</v>
      </c>
      <c r="Y91" s="47">
        <v>10</v>
      </c>
      <c r="Z91" s="55">
        <f>T91+U91+V91+W91+X91+Y91</f>
        <v>50</v>
      </c>
      <c r="AA91" s="44">
        <v>2023</v>
      </c>
      <c r="AB91" s="134"/>
      <c r="AC91" s="112"/>
    </row>
    <row r="92" spans="1:29" ht="31.5" x14ac:dyDescent="0.25">
      <c r="A92" s="60" t="s">
        <v>19</v>
      </c>
      <c r="B92" s="60" t="s">
        <v>19</v>
      </c>
      <c r="C92" s="60" t="s">
        <v>26</v>
      </c>
      <c r="D92" s="60" t="s">
        <v>19</v>
      </c>
      <c r="E92" s="60" t="s">
        <v>22</v>
      </c>
      <c r="F92" s="60" t="s">
        <v>19</v>
      </c>
      <c r="G92" s="60" t="s">
        <v>23</v>
      </c>
      <c r="H92" s="60" t="s">
        <v>20</v>
      </c>
      <c r="I92" s="60" t="s">
        <v>25</v>
      </c>
      <c r="J92" s="60" t="s">
        <v>19</v>
      </c>
      <c r="K92" s="60" t="s">
        <v>19</v>
      </c>
      <c r="L92" s="60" t="s">
        <v>20</v>
      </c>
      <c r="M92" s="60" t="s">
        <v>19</v>
      </c>
      <c r="N92" s="60" t="s">
        <v>19</v>
      </c>
      <c r="O92" s="60" t="s">
        <v>19</v>
      </c>
      <c r="P92" s="60" t="s">
        <v>19</v>
      </c>
      <c r="Q92" s="60" t="s">
        <v>19</v>
      </c>
      <c r="R92" s="76" t="s">
        <v>110</v>
      </c>
      <c r="S92" s="62" t="s">
        <v>0</v>
      </c>
      <c r="T92" s="1">
        <f>4141.3-300-1489-672.7-86.2-669.2</f>
        <v>924.2</v>
      </c>
      <c r="U92" s="1">
        <f>2950-369.3</f>
        <v>2580.6999999999998</v>
      </c>
      <c r="V92" s="1">
        <v>2950</v>
      </c>
      <c r="W92" s="1">
        <v>2950</v>
      </c>
      <c r="X92" s="1">
        <v>2950</v>
      </c>
      <c r="Y92" s="1">
        <v>2950</v>
      </c>
      <c r="Z92" s="66">
        <f>T92+U92+V92+W92+X92+Y92</f>
        <v>15304.9</v>
      </c>
      <c r="AA92" s="65">
        <v>2023</v>
      </c>
      <c r="AB92" s="131"/>
    </row>
    <row r="93" spans="1:29" ht="46.9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3" t="s">
        <v>303</v>
      </c>
      <c r="S93" s="144" t="s">
        <v>39</v>
      </c>
      <c r="T93" s="47">
        <v>7</v>
      </c>
      <c r="U93" s="47">
        <v>122</v>
      </c>
      <c r="V93" s="47">
        <v>122</v>
      </c>
      <c r="W93" s="47">
        <v>122</v>
      </c>
      <c r="X93" s="47">
        <v>122</v>
      </c>
      <c r="Y93" s="47">
        <v>122</v>
      </c>
      <c r="Z93" s="55">
        <f>T93+U93+V93+W93+X93+Y93</f>
        <v>617</v>
      </c>
      <c r="AA93" s="44">
        <v>2023</v>
      </c>
      <c r="AB93" s="34"/>
    </row>
    <row r="94" spans="1:29" ht="47.25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3" t="s">
        <v>304</v>
      </c>
      <c r="S94" s="44" t="s">
        <v>39</v>
      </c>
      <c r="T94" s="47">
        <v>3</v>
      </c>
      <c r="U94" s="47">
        <v>3</v>
      </c>
      <c r="V94" s="47">
        <v>3</v>
      </c>
      <c r="W94" s="47">
        <v>3</v>
      </c>
      <c r="X94" s="47">
        <v>3</v>
      </c>
      <c r="Y94" s="47">
        <v>3</v>
      </c>
      <c r="Z94" s="55">
        <v>3</v>
      </c>
      <c r="AA94" s="44">
        <v>2023</v>
      </c>
      <c r="AB94" s="134"/>
      <c r="AC94" s="112"/>
    </row>
    <row r="95" spans="1:29" ht="63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68" t="s">
        <v>320</v>
      </c>
      <c r="S95" s="144" t="s">
        <v>39</v>
      </c>
      <c r="T95" s="47">
        <v>0</v>
      </c>
      <c r="U95" s="47">
        <v>15</v>
      </c>
      <c r="V95" s="47">
        <v>15</v>
      </c>
      <c r="W95" s="47">
        <v>15</v>
      </c>
      <c r="X95" s="47">
        <v>15</v>
      </c>
      <c r="Y95" s="47">
        <v>15</v>
      </c>
      <c r="Z95" s="55">
        <f>T95+U95+V95+W95+X95+Y95</f>
        <v>75</v>
      </c>
      <c r="AA95" s="44">
        <v>2023</v>
      </c>
      <c r="AB95" s="134"/>
      <c r="AC95" s="112"/>
    </row>
    <row r="96" spans="1:29" ht="31.5" x14ac:dyDescent="0.25">
      <c r="A96" s="60" t="s">
        <v>19</v>
      </c>
      <c r="B96" s="60" t="s">
        <v>20</v>
      </c>
      <c r="C96" s="60" t="s">
        <v>25</v>
      </c>
      <c r="D96" s="60" t="s">
        <v>19</v>
      </c>
      <c r="E96" s="60" t="s">
        <v>22</v>
      </c>
      <c r="F96" s="60" t="s">
        <v>19</v>
      </c>
      <c r="G96" s="60" t="s">
        <v>23</v>
      </c>
      <c r="H96" s="60" t="s">
        <v>20</v>
      </c>
      <c r="I96" s="60" t="s">
        <v>25</v>
      </c>
      <c r="J96" s="60" t="s">
        <v>19</v>
      </c>
      <c r="K96" s="60" t="s">
        <v>19</v>
      </c>
      <c r="L96" s="60" t="s">
        <v>20</v>
      </c>
      <c r="M96" s="60" t="s">
        <v>19</v>
      </c>
      <c r="N96" s="60" t="s">
        <v>19</v>
      </c>
      <c r="O96" s="60" t="s">
        <v>19</v>
      </c>
      <c r="P96" s="60" t="s">
        <v>19</v>
      </c>
      <c r="Q96" s="60" t="s">
        <v>19</v>
      </c>
      <c r="R96" s="76" t="s">
        <v>110</v>
      </c>
      <c r="S96" s="62" t="s">
        <v>0</v>
      </c>
      <c r="T96" s="1">
        <f>236-236+500-125.3</f>
        <v>374.7</v>
      </c>
      <c r="U96" s="1">
        <f>0+229</f>
        <v>229</v>
      </c>
      <c r="V96" s="1">
        <v>0</v>
      </c>
      <c r="W96" s="1">
        <v>0</v>
      </c>
      <c r="X96" s="1">
        <v>0</v>
      </c>
      <c r="Y96" s="1">
        <v>0</v>
      </c>
      <c r="Z96" s="66">
        <f>T96+U96+V96+W96+X96+Y96</f>
        <v>603.70000000000005</v>
      </c>
      <c r="AA96" s="65">
        <v>2019</v>
      </c>
      <c r="AB96" s="134"/>
      <c r="AC96" s="112"/>
    </row>
    <row r="97" spans="1:31" ht="63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68" t="s">
        <v>321</v>
      </c>
      <c r="S97" s="144" t="s">
        <v>39</v>
      </c>
      <c r="T97" s="47">
        <v>25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48">
        <f>T97+U97+V97+W97+X97+Y97</f>
        <v>25</v>
      </c>
      <c r="AA97" s="44">
        <v>2018</v>
      </c>
      <c r="AB97" s="134"/>
      <c r="AC97" s="112"/>
    </row>
    <row r="98" spans="1:31" ht="31.5" x14ac:dyDescent="0.25">
      <c r="A98" s="60" t="s">
        <v>19</v>
      </c>
      <c r="B98" s="60" t="s">
        <v>20</v>
      </c>
      <c r="C98" s="60" t="s">
        <v>21</v>
      </c>
      <c r="D98" s="60" t="s">
        <v>19</v>
      </c>
      <c r="E98" s="60" t="s">
        <v>22</v>
      </c>
      <c r="F98" s="60" t="s">
        <v>19</v>
      </c>
      <c r="G98" s="60" t="s">
        <v>23</v>
      </c>
      <c r="H98" s="60" t="s">
        <v>20</v>
      </c>
      <c r="I98" s="60" t="s">
        <v>25</v>
      </c>
      <c r="J98" s="60" t="s">
        <v>19</v>
      </c>
      <c r="K98" s="60" t="s">
        <v>19</v>
      </c>
      <c r="L98" s="60" t="s">
        <v>20</v>
      </c>
      <c r="M98" s="60" t="s">
        <v>19</v>
      </c>
      <c r="N98" s="60" t="s">
        <v>19</v>
      </c>
      <c r="O98" s="60" t="s">
        <v>19</v>
      </c>
      <c r="P98" s="60" t="s">
        <v>19</v>
      </c>
      <c r="Q98" s="60" t="s">
        <v>19</v>
      </c>
      <c r="R98" s="145" t="s">
        <v>114</v>
      </c>
      <c r="S98" s="65" t="s">
        <v>0</v>
      </c>
      <c r="T98" s="66">
        <f>99204.4+25748.3-45-48-10</f>
        <v>124849.7</v>
      </c>
      <c r="U98" s="66">
        <v>98382.7</v>
      </c>
      <c r="V98" s="66">
        <v>102745.5</v>
      </c>
      <c r="W98" s="66">
        <v>95888</v>
      </c>
      <c r="X98" s="66">
        <v>95888</v>
      </c>
      <c r="Y98" s="66">
        <v>95888</v>
      </c>
      <c r="Z98" s="66">
        <f>T98+U98+V98+W98+X98+Y98</f>
        <v>613641.9</v>
      </c>
      <c r="AA98" s="65">
        <v>2023</v>
      </c>
      <c r="AB98" s="130"/>
      <c r="AC98" s="112"/>
    </row>
    <row r="99" spans="1:31" ht="47.45" customHeight="1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68" t="s">
        <v>115</v>
      </c>
      <c r="S99" s="144" t="s">
        <v>52</v>
      </c>
      <c r="T99" s="2">
        <v>21452</v>
      </c>
      <c r="U99" s="2">
        <v>21452</v>
      </c>
      <c r="V99" s="2">
        <v>21452</v>
      </c>
      <c r="W99" s="2">
        <v>21452</v>
      </c>
      <c r="X99" s="2">
        <v>21452</v>
      </c>
      <c r="Y99" s="2">
        <v>21452</v>
      </c>
      <c r="Z99" s="55">
        <f>Y99</f>
        <v>21452</v>
      </c>
      <c r="AA99" s="44">
        <v>2023</v>
      </c>
      <c r="AB99" s="134"/>
      <c r="AC99" s="119"/>
      <c r="AD99" s="119"/>
    </row>
    <row r="100" spans="1:31" ht="46.9" customHeight="1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68" t="s">
        <v>116</v>
      </c>
      <c r="S100" s="144" t="s">
        <v>9</v>
      </c>
      <c r="T100" s="3">
        <v>95</v>
      </c>
      <c r="U100" s="3">
        <v>95</v>
      </c>
      <c r="V100" s="3">
        <v>95</v>
      </c>
      <c r="W100" s="3">
        <v>95</v>
      </c>
      <c r="X100" s="3">
        <v>95</v>
      </c>
      <c r="Y100" s="3">
        <v>95</v>
      </c>
      <c r="Z100" s="5">
        <v>95</v>
      </c>
      <c r="AA100" s="44">
        <v>2023</v>
      </c>
      <c r="AB100" s="34"/>
    </row>
    <row r="101" spans="1:31" ht="47.25" x14ac:dyDescent="0.25">
      <c r="A101" s="60"/>
      <c r="B101" s="60"/>
      <c r="C101" s="60"/>
      <c r="D101" s="60" t="s">
        <v>19</v>
      </c>
      <c r="E101" s="60" t="s">
        <v>22</v>
      </c>
      <c r="F101" s="60" t="s">
        <v>19</v>
      </c>
      <c r="G101" s="60" t="s">
        <v>23</v>
      </c>
      <c r="H101" s="60" t="s">
        <v>20</v>
      </c>
      <c r="I101" s="60" t="s">
        <v>25</v>
      </c>
      <c r="J101" s="60" t="s">
        <v>19</v>
      </c>
      <c r="K101" s="60" t="s">
        <v>19</v>
      </c>
      <c r="L101" s="60" t="s">
        <v>20</v>
      </c>
      <c r="M101" s="60" t="s">
        <v>19</v>
      </c>
      <c r="N101" s="60" t="s">
        <v>19</v>
      </c>
      <c r="O101" s="60" t="s">
        <v>19</v>
      </c>
      <c r="P101" s="60" t="s">
        <v>19</v>
      </c>
      <c r="Q101" s="60" t="s">
        <v>19</v>
      </c>
      <c r="R101" s="75" t="s">
        <v>117</v>
      </c>
      <c r="S101" s="65" t="s">
        <v>0</v>
      </c>
      <c r="T101" s="66">
        <f t="shared" ref="T101:Y102" si="22">T103+T105+T107+T109</f>
        <v>1880.0999999999997</v>
      </c>
      <c r="U101" s="66">
        <f t="shared" si="22"/>
        <v>2397.6999999999998</v>
      </c>
      <c r="V101" s="66">
        <f t="shared" si="22"/>
        <v>2397.6999999999998</v>
      </c>
      <c r="W101" s="66">
        <f t="shared" si="22"/>
        <v>2397.6999999999998</v>
      </c>
      <c r="X101" s="66">
        <f t="shared" si="22"/>
        <v>2397.6999999999998</v>
      </c>
      <c r="Y101" s="66">
        <f t="shared" si="22"/>
        <v>2397.6999999999998</v>
      </c>
      <c r="Z101" s="66">
        <f t="shared" ref="Z101:Z110" si="23">T101+U101+V101+W101+X101+Y101</f>
        <v>13868.599999999999</v>
      </c>
      <c r="AA101" s="65">
        <v>2023</v>
      </c>
      <c r="AB101" s="131"/>
    </row>
    <row r="102" spans="1:31" ht="47.25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3" t="s">
        <v>118</v>
      </c>
      <c r="S102" s="44" t="s">
        <v>39</v>
      </c>
      <c r="T102" s="47">
        <f t="shared" si="22"/>
        <v>61</v>
      </c>
      <c r="U102" s="47">
        <f t="shared" si="22"/>
        <v>84</v>
      </c>
      <c r="V102" s="47">
        <f t="shared" si="22"/>
        <v>84</v>
      </c>
      <c r="W102" s="47">
        <f t="shared" si="22"/>
        <v>84</v>
      </c>
      <c r="X102" s="47">
        <f t="shared" si="22"/>
        <v>84</v>
      </c>
      <c r="Y102" s="47">
        <f t="shared" si="22"/>
        <v>84</v>
      </c>
      <c r="Z102" s="47">
        <f t="shared" si="23"/>
        <v>481</v>
      </c>
      <c r="AA102" s="44">
        <v>2023</v>
      </c>
      <c r="AB102" s="134"/>
      <c r="AC102" s="112"/>
    </row>
    <row r="103" spans="1:31" ht="47.25" x14ac:dyDescent="0.25">
      <c r="A103" s="60" t="s">
        <v>19</v>
      </c>
      <c r="B103" s="60" t="s">
        <v>19</v>
      </c>
      <c r="C103" s="60" t="s">
        <v>23</v>
      </c>
      <c r="D103" s="60" t="s">
        <v>19</v>
      </c>
      <c r="E103" s="60" t="s">
        <v>22</v>
      </c>
      <c r="F103" s="60" t="s">
        <v>19</v>
      </c>
      <c r="G103" s="60" t="s">
        <v>23</v>
      </c>
      <c r="H103" s="60" t="s">
        <v>20</v>
      </c>
      <c r="I103" s="60" t="s">
        <v>25</v>
      </c>
      <c r="J103" s="60" t="s">
        <v>19</v>
      </c>
      <c r="K103" s="60" t="s">
        <v>19</v>
      </c>
      <c r="L103" s="60" t="s">
        <v>20</v>
      </c>
      <c r="M103" s="60" t="s">
        <v>19</v>
      </c>
      <c r="N103" s="60" t="s">
        <v>19</v>
      </c>
      <c r="O103" s="60" t="s">
        <v>19</v>
      </c>
      <c r="P103" s="60" t="s">
        <v>19</v>
      </c>
      <c r="Q103" s="60" t="s">
        <v>19</v>
      </c>
      <c r="R103" s="76" t="s">
        <v>119</v>
      </c>
      <c r="S103" s="62" t="s">
        <v>0</v>
      </c>
      <c r="T103" s="1">
        <f>92-9.2+105.5-26.8</f>
        <v>161.5</v>
      </c>
      <c r="U103" s="1">
        <v>1092</v>
      </c>
      <c r="V103" s="1">
        <v>1092</v>
      </c>
      <c r="W103" s="1">
        <v>1092</v>
      </c>
      <c r="X103" s="1">
        <v>1092</v>
      </c>
      <c r="Y103" s="1">
        <v>1092</v>
      </c>
      <c r="Z103" s="66">
        <f t="shared" si="23"/>
        <v>5621.5</v>
      </c>
      <c r="AA103" s="65">
        <v>2023</v>
      </c>
      <c r="AB103" s="131"/>
    </row>
    <row r="104" spans="1:31" ht="47.25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81" t="s">
        <v>120</v>
      </c>
      <c r="S104" s="144" t="s">
        <v>39</v>
      </c>
      <c r="T104" s="47">
        <f>4+4</f>
        <v>8</v>
      </c>
      <c r="U104" s="47">
        <v>29</v>
      </c>
      <c r="V104" s="47">
        <v>29</v>
      </c>
      <c r="W104" s="47">
        <v>29</v>
      </c>
      <c r="X104" s="47">
        <v>29</v>
      </c>
      <c r="Y104" s="47">
        <v>29</v>
      </c>
      <c r="Z104" s="55">
        <f t="shared" si="23"/>
        <v>153</v>
      </c>
      <c r="AA104" s="44">
        <v>2023</v>
      </c>
      <c r="AB104" s="138"/>
      <c r="AC104" s="119"/>
    </row>
    <row r="105" spans="1:31" ht="47.25" x14ac:dyDescent="0.25">
      <c r="A105" s="60" t="s">
        <v>19</v>
      </c>
      <c r="B105" s="60" t="s">
        <v>19</v>
      </c>
      <c r="C105" s="60" t="s">
        <v>25</v>
      </c>
      <c r="D105" s="60" t="s">
        <v>19</v>
      </c>
      <c r="E105" s="60" t="s">
        <v>22</v>
      </c>
      <c r="F105" s="60" t="s">
        <v>19</v>
      </c>
      <c r="G105" s="60" t="s">
        <v>23</v>
      </c>
      <c r="H105" s="60" t="s">
        <v>20</v>
      </c>
      <c r="I105" s="60" t="s">
        <v>25</v>
      </c>
      <c r="J105" s="60" t="s">
        <v>19</v>
      </c>
      <c r="K105" s="60" t="s">
        <v>19</v>
      </c>
      <c r="L105" s="60" t="s">
        <v>20</v>
      </c>
      <c r="M105" s="60" t="s">
        <v>19</v>
      </c>
      <c r="N105" s="60" t="s">
        <v>19</v>
      </c>
      <c r="O105" s="60" t="s">
        <v>19</v>
      </c>
      <c r="P105" s="60" t="s">
        <v>19</v>
      </c>
      <c r="Q105" s="60" t="s">
        <v>19</v>
      </c>
      <c r="R105" s="76" t="s">
        <v>119</v>
      </c>
      <c r="S105" s="62" t="s">
        <v>0</v>
      </c>
      <c r="T105" s="1">
        <f>1135.8-126-115.2-44.7</f>
        <v>849.89999999999986</v>
      </c>
      <c r="U105" s="1">
        <v>630.5</v>
      </c>
      <c r="V105" s="1">
        <v>630.5</v>
      </c>
      <c r="W105" s="1">
        <v>630.5</v>
      </c>
      <c r="X105" s="1">
        <v>630.5</v>
      </c>
      <c r="Y105" s="1">
        <v>630.5</v>
      </c>
      <c r="Z105" s="66">
        <f t="shared" si="23"/>
        <v>4002.3999999999996</v>
      </c>
      <c r="AA105" s="65">
        <v>2023</v>
      </c>
      <c r="AB105" s="133"/>
      <c r="AC105" s="112"/>
    </row>
    <row r="106" spans="1:31" ht="47.25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68" t="s">
        <v>121</v>
      </c>
      <c r="S106" s="144" t="s">
        <v>39</v>
      </c>
      <c r="T106" s="47">
        <v>26</v>
      </c>
      <c r="U106" s="47">
        <v>20</v>
      </c>
      <c r="V106" s="47">
        <v>20</v>
      </c>
      <c r="W106" s="47">
        <v>20</v>
      </c>
      <c r="X106" s="47">
        <v>20</v>
      </c>
      <c r="Y106" s="47">
        <v>20</v>
      </c>
      <c r="Z106" s="55">
        <f t="shared" si="23"/>
        <v>126</v>
      </c>
      <c r="AA106" s="44">
        <v>2023</v>
      </c>
      <c r="AB106" s="134"/>
      <c r="AC106" s="112"/>
    </row>
    <row r="107" spans="1:31" ht="47.25" x14ac:dyDescent="0.25">
      <c r="A107" s="60" t="s">
        <v>19</v>
      </c>
      <c r="B107" s="60" t="s">
        <v>19</v>
      </c>
      <c r="C107" s="60" t="s">
        <v>22</v>
      </c>
      <c r="D107" s="60" t="s">
        <v>19</v>
      </c>
      <c r="E107" s="60" t="s">
        <v>22</v>
      </c>
      <c r="F107" s="60" t="s">
        <v>19</v>
      </c>
      <c r="G107" s="60" t="s">
        <v>23</v>
      </c>
      <c r="H107" s="60" t="s">
        <v>20</v>
      </c>
      <c r="I107" s="60" t="s">
        <v>25</v>
      </c>
      <c r="J107" s="60" t="s">
        <v>19</v>
      </c>
      <c r="K107" s="60" t="s">
        <v>19</v>
      </c>
      <c r="L107" s="60" t="s">
        <v>20</v>
      </c>
      <c r="M107" s="60" t="s">
        <v>19</v>
      </c>
      <c r="N107" s="60" t="s">
        <v>19</v>
      </c>
      <c r="O107" s="60" t="s">
        <v>19</v>
      </c>
      <c r="P107" s="60" t="s">
        <v>19</v>
      </c>
      <c r="Q107" s="60" t="s">
        <v>19</v>
      </c>
      <c r="R107" s="76" t="s">
        <v>119</v>
      </c>
      <c r="S107" s="62" t="s">
        <v>0</v>
      </c>
      <c r="T107" s="1">
        <f>429.2+396.7-107.5</f>
        <v>718.4</v>
      </c>
      <c r="U107" s="1">
        <v>475.2</v>
      </c>
      <c r="V107" s="1">
        <v>475.2</v>
      </c>
      <c r="W107" s="1">
        <v>475.2</v>
      </c>
      <c r="X107" s="1">
        <v>475.2</v>
      </c>
      <c r="Y107" s="1">
        <v>475.2</v>
      </c>
      <c r="Z107" s="66">
        <f t="shared" si="23"/>
        <v>3094.3999999999996</v>
      </c>
      <c r="AA107" s="65">
        <v>2023</v>
      </c>
      <c r="AB107" s="131"/>
    </row>
    <row r="108" spans="1:31" ht="47.25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3" t="s">
        <v>122</v>
      </c>
      <c r="S108" s="44" t="s">
        <v>39</v>
      </c>
      <c r="T108" s="47">
        <v>17</v>
      </c>
      <c r="U108" s="47">
        <v>17</v>
      </c>
      <c r="V108" s="47">
        <v>17</v>
      </c>
      <c r="W108" s="47">
        <v>17</v>
      </c>
      <c r="X108" s="47">
        <v>17</v>
      </c>
      <c r="Y108" s="47">
        <v>17</v>
      </c>
      <c r="Z108" s="55">
        <f t="shared" si="23"/>
        <v>102</v>
      </c>
      <c r="AA108" s="44">
        <v>2023</v>
      </c>
      <c r="AB108" s="134"/>
      <c r="AC108" s="112"/>
    </row>
    <row r="109" spans="1:31" ht="47.25" x14ac:dyDescent="0.25">
      <c r="A109" s="60" t="s">
        <v>19</v>
      </c>
      <c r="B109" s="60" t="s">
        <v>19</v>
      </c>
      <c r="C109" s="60" t="s">
        <v>26</v>
      </c>
      <c r="D109" s="60" t="s">
        <v>19</v>
      </c>
      <c r="E109" s="60" t="s">
        <v>22</v>
      </c>
      <c r="F109" s="60" t="s">
        <v>19</v>
      </c>
      <c r="G109" s="60" t="s">
        <v>23</v>
      </c>
      <c r="H109" s="60" t="s">
        <v>20</v>
      </c>
      <c r="I109" s="60" t="s">
        <v>25</v>
      </c>
      <c r="J109" s="60" t="s">
        <v>19</v>
      </c>
      <c r="K109" s="60" t="s">
        <v>19</v>
      </c>
      <c r="L109" s="60" t="s">
        <v>20</v>
      </c>
      <c r="M109" s="60" t="s">
        <v>19</v>
      </c>
      <c r="N109" s="60" t="s">
        <v>19</v>
      </c>
      <c r="O109" s="60" t="s">
        <v>19</v>
      </c>
      <c r="P109" s="60" t="s">
        <v>19</v>
      </c>
      <c r="Q109" s="60" t="s">
        <v>19</v>
      </c>
      <c r="R109" s="76" t="s">
        <v>123</v>
      </c>
      <c r="S109" s="62" t="s">
        <v>0</v>
      </c>
      <c r="T109" s="1">
        <f>153.3-3</f>
        <v>150.30000000000001</v>
      </c>
      <c r="U109" s="1">
        <v>200</v>
      </c>
      <c r="V109" s="1">
        <v>200</v>
      </c>
      <c r="W109" s="1">
        <v>200</v>
      </c>
      <c r="X109" s="1">
        <v>200</v>
      </c>
      <c r="Y109" s="1">
        <v>200</v>
      </c>
      <c r="Z109" s="66">
        <f t="shared" si="23"/>
        <v>1150.3</v>
      </c>
      <c r="AA109" s="65">
        <v>2023</v>
      </c>
      <c r="AB109" s="34"/>
    </row>
    <row r="110" spans="1:31" ht="47.25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3" t="s">
        <v>124</v>
      </c>
      <c r="S110" s="44" t="s">
        <v>39</v>
      </c>
      <c r="T110" s="47">
        <v>10</v>
      </c>
      <c r="U110" s="47">
        <v>18</v>
      </c>
      <c r="V110" s="47">
        <v>18</v>
      </c>
      <c r="W110" s="47">
        <v>18</v>
      </c>
      <c r="X110" s="47">
        <v>18</v>
      </c>
      <c r="Y110" s="47">
        <v>18</v>
      </c>
      <c r="Z110" s="55">
        <f t="shared" si="23"/>
        <v>100</v>
      </c>
      <c r="AA110" s="44">
        <v>2023</v>
      </c>
      <c r="AB110" s="34"/>
    </row>
    <row r="111" spans="1:31" ht="31.5" x14ac:dyDescent="0.25">
      <c r="A111" s="60" t="s">
        <v>19</v>
      </c>
      <c r="B111" s="60" t="s">
        <v>20</v>
      </c>
      <c r="C111" s="60" t="s">
        <v>21</v>
      </c>
      <c r="D111" s="60" t="s">
        <v>19</v>
      </c>
      <c r="E111" s="60" t="s">
        <v>22</v>
      </c>
      <c r="F111" s="60" t="s">
        <v>19</v>
      </c>
      <c r="G111" s="60" t="s">
        <v>23</v>
      </c>
      <c r="H111" s="60" t="s">
        <v>20</v>
      </c>
      <c r="I111" s="60" t="s">
        <v>25</v>
      </c>
      <c r="J111" s="60" t="s">
        <v>19</v>
      </c>
      <c r="K111" s="60" t="s">
        <v>19</v>
      </c>
      <c r="L111" s="60" t="s">
        <v>20</v>
      </c>
      <c r="M111" s="60" t="s">
        <v>19</v>
      </c>
      <c r="N111" s="60" t="s">
        <v>19</v>
      </c>
      <c r="O111" s="60" t="s">
        <v>19</v>
      </c>
      <c r="P111" s="60" t="s">
        <v>19</v>
      </c>
      <c r="Q111" s="60" t="s">
        <v>19</v>
      </c>
      <c r="R111" s="146" t="s">
        <v>125</v>
      </c>
      <c r="S111" s="103" t="s">
        <v>0</v>
      </c>
      <c r="T111" s="66">
        <f>2300+20572-19997.4-439+45+48+203.1-4</f>
        <v>2727.6999999999985</v>
      </c>
      <c r="U111" s="66">
        <v>7300</v>
      </c>
      <c r="V111" s="66">
        <v>3500</v>
      </c>
      <c r="W111" s="66">
        <v>3500</v>
      </c>
      <c r="X111" s="66">
        <v>3500</v>
      </c>
      <c r="Y111" s="66">
        <v>3500</v>
      </c>
      <c r="Z111" s="66">
        <f>SUM(T111:Y111)</f>
        <v>24027.699999999997</v>
      </c>
      <c r="AA111" s="65">
        <v>2023</v>
      </c>
      <c r="AB111" s="134"/>
      <c r="AC111" s="119"/>
      <c r="AD111" s="119"/>
      <c r="AE111" s="119"/>
    </row>
    <row r="112" spans="1:31" s="79" customFormat="1" ht="47.45" customHeight="1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43" t="s">
        <v>126</v>
      </c>
      <c r="S112" s="44" t="s">
        <v>52</v>
      </c>
      <c r="T112" s="2">
        <v>8</v>
      </c>
      <c r="U112" s="2">
        <v>8</v>
      </c>
      <c r="V112" s="2">
        <v>8</v>
      </c>
      <c r="W112" s="2">
        <v>8</v>
      </c>
      <c r="X112" s="2">
        <v>8</v>
      </c>
      <c r="Y112" s="2">
        <v>8</v>
      </c>
      <c r="Z112" s="48">
        <v>8</v>
      </c>
      <c r="AA112" s="44">
        <v>2023</v>
      </c>
      <c r="AB112" s="34"/>
      <c r="AC112" s="112"/>
    </row>
    <row r="113" spans="1:31" ht="31.5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68" t="s">
        <v>127</v>
      </c>
      <c r="S113" s="144" t="s">
        <v>52</v>
      </c>
      <c r="T113" s="2">
        <v>0</v>
      </c>
      <c r="U113" s="2">
        <v>998</v>
      </c>
      <c r="V113" s="2">
        <v>0</v>
      </c>
      <c r="W113" s="2">
        <v>0</v>
      </c>
      <c r="X113" s="2">
        <v>0</v>
      </c>
      <c r="Y113" s="2">
        <v>0</v>
      </c>
      <c r="Z113" s="48">
        <f>T113+U113+V113+W113+X113+Y113</f>
        <v>998</v>
      </c>
      <c r="AA113" s="144">
        <v>2019</v>
      </c>
      <c r="AB113" s="34"/>
      <c r="AC113" s="112"/>
    </row>
    <row r="114" spans="1:31" s="79" customFormat="1" ht="31.9" customHeight="1" x14ac:dyDescent="0.25">
      <c r="A114" s="60" t="s">
        <v>19</v>
      </c>
      <c r="B114" s="60" t="s">
        <v>20</v>
      </c>
      <c r="C114" s="60" t="s">
        <v>21</v>
      </c>
      <c r="D114" s="60" t="s">
        <v>19</v>
      </c>
      <c r="E114" s="60" t="s">
        <v>22</v>
      </c>
      <c r="F114" s="60" t="s">
        <v>19</v>
      </c>
      <c r="G114" s="60" t="s">
        <v>23</v>
      </c>
      <c r="H114" s="60" t="s">
        <v>20</v>
      </c>
      <c r="I114" s="60" t="s">
        <v>25</v>
      </c>
      <c r="J114" s="60" t="s">
        <v>19</v>
      </c>
      <c r="K114" s="60" t="s">
        <v>19</v>
      </c>
      <c r="L114" s="60" t="s">
        <v>20</v>
      </c>
      <c r="M114" s="60" t="s">
        <v>19</v>
      </c>
      <c r="N114" s="60" t="s">
        <v>19</v>
      </c>
      <c r="O114" s="60" t="s">
        <v>19</v>
      </c>
      <c r="P114" s="60" t="s">
        <v>19</v>
      </c>
      <c r="Q114" s="60" t="s">
        <v>19</v>
      </c>
      <c r="R114" s="61" t="s">
        <v>128</v>
      </c>
      <c r="S114" s="65" t="s">
        <v>0</v>
      </c>
      <c r="T114" s="66">
        <f>102300-550-5000-1550.7+43.1+12-12</f>
        <v>95242.400000000009</v>
      </c>
      <c r="U114" s="66">
        <v>83000</v>
      </c>
      <c r="V114" s="66">
        <v>92300</v>
      </c>
      <c r="W114" s="66">
        <v>83000</v>
      </c>
      <c r="X114" s="66">
        <v>83000</v>
      </c>
      <c r="Y114" s="66">
        <v>83000</v>
      </c>
      <c r="Z114" s="66">
        <f>T114+U114+V114+W114+X114+Y114</f>
        <v>519542.4</v>
      </c>
      <c r="AA114" s="65">
        <v>2023</v>
      </c>
      <c r="AB114" s="34"/>
    </row>
    <row r="115" spans="1:31" s="79" customFormat="1" ht="31.5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54" t="s">
        <v>129</v>
      </c>
      <c r="S115" s="44" t="s">
        <v>56</v>
      </c>
      <c r="T115" s="4">
        <v>3.7</v>
      </c>
      <c r="U115" s="4">
        <v>3.8</v>
      </c>
      <c r="V115" s="4">
        <v>3.8</v>
      </c>
      <c r="W115" s="4">
        <v>3.8</v>
      </c>
      <c r="X115" s="4">
        <v>3.8</v>
      </c>
      <c r="Y115" s="4">
        <v>3.8</v>
      </c>
      <c r="Z115" s="6">
        <v>3.8</v>
      </c>
      <c r="AA115" s="44">
        <v>2023</v>
      </c>
      <c r="AB115" s="34"/>
    </row>
    <row r="116" spans="1:31" ht="47.25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3" t="s">
        <v>130</v>
      </c>
      <c r="S116" s="44" t="s">
        <v>52</v>
      </c>
      <c r="T116" s="47">
        <v>87</v>
      </c>
      <c r="U116" s="47">
        <v>74</v>
      </c>
      <c r="V116" s="47">
        <v>74</v>
      </c>
      <c r="W116" s="47">
        <v>74</v>
      </c>
      <c r="X116" s="47">
        <v>74</v>
      </c>
      <c r="Y116" s="47">
        <v>74</v>
      </c>
      <c r="Z116" s="55">
        <v>74</v>
      </c>
      <c r="AA116" s="44">
        <v>2023</v>
      </c>
      <c r="AB116" s="134"/>
      <c r="AC116" s="112"/>
    </row>
    <row r="117" spans="1:31" ht="47.45" customHeight="1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68" t="s">
        <v>131</v>
      </c>
      <c r="S117" s="144" t="s">
        <v>52</v>
      </c>
      <c r="T117" s="2">
        <v>2400</v>
      </c>
      <c r="U117" s="47">
        <v>2400</v>
      </c>
      <c r="V117" s="47">
        <v>2400</v>
      </c>
      <c r="W117" s="47">
        <v>2400</v>
      </c>
      <c r="X117" s="47">
        <v>2400</v>
      </c>
      <c r="Y117" s="47">
        <v>2400</v>
      </c>
      <c r="Z117" s="55">
        <f>T117+U117+V117+W117+X117+Y117</f>
        <v>14400</v>
      </c>
      <c r="AA117" s="44">
        <v>2023</v>
      </c>
      <c r="AB117" s="134"/>
      <c r="AC117" s="112"/>
    </row>
    <row r="118" spans="1:31" ht="47.25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68" t="s">
        <v>132</v>
      </c>
      <c r="S118" s="144" t="s">
        <v>33</v>
      </c>
      <c r="T118" s="4">
        <v>12100</v>
      </c>
      <c r="U118" s="3">
        <v>12800</v>
      </c>
      <c r="V118" s="3">
        <v>12800</v>
      </c>
      <c r="W118" s="3">
        <v>12800</v>
      </c>
      <c r="X118" s="3">
        <v>12800</v>
      </c>
      <c r="Y118" s="3">
        <v>12800</v>
      </c>
      <c r="Z118" s="6">
        <f>T118+U118+V118+W118+X118+Y118</f>
        <v>76100</v>
      </c>
      <c r="AA118" s="44">
        <v>2023</v>
      </c>
      <c r="AB118" s="134"/>
      <c r="AC118" s="112"/>
    </row>
    <row r="119" spans="1:31" s="57" customFormat="1" ht="30" customHeight="1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68" t="s">
        <v>133</v>
      </c>
      <c r="S119" s="144" t="s">
        <v>35</v>
      </c>
      <c r="T119" s="4">
        <v>8969</v>
      </c>
      <c r="U119" s="3">
        <v>12053</v>
      </c>
      <c r="V119" s="3">
        <v>12053</v>
      </c>
      <c r="W119" s="3">
        <v>12053</v>
      </c>
      <c r="X119" s="3">
        <v>12053</v>
      </c>
      <c r="Y119" s="3">
        <v>12053</v>
      </c>
      <c r="Z119" s="6">
        <f>T119+U119+V119+W119+X119+Y119</f>
        <v>69234</v>
      </c>
      <c r="AA119" s="44">
        <v>2023</v>
      </c>
      <c r="AB119" s="134"/>
      <c r="AC119" s="112"/>
    </row>
    <row r="120" spans="1:31" s="57" customFormat="1" ht="31.5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3" t="s">
        <v>134</v>
      </c>
      <c r="S120" s="44" t="s">
        <v>56</v>
      </c>
      <c r="T120" s="3">
        <v>2557</v>
      </c>
      <c r="U120" s="3">
        <v>2009.1</v>
      </c>
      <c r="V120" s="3">
        <v>2736</v>
      </c>
      <c r="W120" s="3">
        <v>2009.1</v>
      </c>
      <c r="X120" s="3">
        <v>2009.1</v>
      </c>
      <c r="Y120" s="3">
        <v>2009.1</v>
      </c>
      <c r="Z120" s="6">
        <v>2009.1</v>
      </c>
      <c r="AA120" s="44">
        <v>2023</v>
      </c>
      <c r="AB120" s="34"/>
    </row>
    <row r="121" spans="1:31" ht="63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54" t="s">
        <v>135</v>
      </c>
      <c r="S121" s="44" t="s">
        <v>37</v>
      </c>
      <c r="T121" s="47">
        <v>247</v>
      </c>
      <c r="U121" s="47">
        <v>247</v>
      </c>
      <c r="V121" s="47">
        <v>248</v>
      </c>
      <c r="W121" s="47">
        <v>247</v>
      </c>
      <c r="X121" s="47">
        <v>247</v>
      </c>
      <c r="Y121" s="47">
        <v>247</v>
      </c>
      <c r="Z121" s="55">
        <f t="shared" ref="Z121:Z126" si="24">T121+U121+V121+W121+X121+Y121</f>
        <v>1483</v>
      </c>
      <c r="AA121" s="44">
        <v>2023</v>
      </c>
      <c r="AB121" s="34"/>
    </row>
    <row r="122" spans="1:31" ht="31.5" x14ac:dyDescent="0.25">
      <c r="A122" s="60" t="s">
        <v>19</v>
      </c>
      <c r="B122" s="60" t="s">
        <v>20</v>
      </c>
      <c r="C122" s="60" t="s">
        <v>25</v>
      </c>
      <c r="D122" s="60" t="s">
        <v>19</v>
      </c>
      <c r="E122" s="60" t="s">
        <v>22</v>
      </c>
      <c r="F122" s="60" t="s">
        <v>19</v>
      </c>
      <c r="G122" s="60" t="s">
        <v>23</v>
      </c>
      <c r="H122" s="60" t="s">
        <v>20</v>
      </c>
      <c r="I122" s="60" t="s">
        <v>25</v>
      </c>
      <c r="J122" s="60" t="s">
        <v>19</v>
      </c>
      <c r="K122" s="60" t="s">
        <v>19</v>
      </c>
      <c r="L122" s="60" t="s">
        <v>20</v>
      </c>
      <c r="M122" s="60" t="s">
        <v>19</v>
      </c>
      <c r="N122" s="60" t="s">
        <v>19</v>
      </c>
      <c r="O122" s="60" t="s">
        <v>19</v>
      </c>
      <c r="P122" s="60" t="s">
        <v>19</v>
      </c>
      <c r="Q122" s="60" t="s">
        <v>19</v>
      </c>
      <c r="R122" s="75" t="s">
        <v>136</v>
      </c>
      <c r="S122" s="103" t="s">
        <v>0</v>
      </c>
      <c r="T122" s="66">
        <f>0+236</f>
        <v>236</v>
      </c>
      <c r="U122" s="66">
        <f>1036-229</f>
        <v>807</v>
      </c>
      <c r="V122" s="66">
        <v>1036</v>
      </c>
      <c r="W122" s="66">
        <v>1036</v>
      </c>
      <c r="X122" s="66">
        <v>1036</v>
      </c>
      <c r="Y122" s="66">
        <v>1036</v>
      </c>
      <c r="Z122" s="66">
        <f t="shared" si="24"/>
        <v>5187</v>
      </c>
      <c r="AA122" s="65">
        <v>2023</v>
      </c>
      <c r="AB122" s="34"/>
    </row>
    <row r="123" spans="1:31" ht="31.5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68" t="s">
        <v>137</v>
      </c>
      <c r="S123" s="144" t="s">
        <v>52</v>
      </c>
      <c r="T123" s="2">
        <v>0</v>
      </c>
      <c r="U123" s="2">
        <v>0</v>
      </c>
      <c r="V123" s="2">
        <v>0</v>
      </c>
      <c r="W123" s="2">
        <v>0</v>
      </c>
      <c r="X123" s="2">
        <v>5</v>
      </c>
      <c r="Y123" s="2">
        <v>5</v>
      </c>
      <c r="Z123" s="55">
        <f t="shared" si="24"/>
        <v>10</v>
      </c>
      <c r="AA123" s="44">
        <v>2023</v>
      </c>
      <c r="AB123" s="134"/>
      <c r="AC123" s="119"/>
      <c r="AD123" s="119"/>
      <c r="AE123" s="119"/>
    </row>
    <row r="124" spans="1:31" ht="31.5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68" t="s">
        <v>197</v>
      </c>
      <c r="S124" s="144" t="s">
        <v>52</v>
      </c>
      <c r="T124" s="2">
        <v>3</v>
      </c>
      <c r="U124" s="2">
        <v>5</v>
      </c>
      <c r="V124" s="2">
        <v>5</v>
      </c>
      <c r="W124" s="2">
        <v>5</v>
      </c>
      <c r="X124" s="47">
        <v>5</v>
      </c>
      <c r="Y124" s="47">
        <v>5</v>
      </c>
      <c r="Z124" s="55">
        <v>5</v>
      </c>
      <c r="AA124" s="44">
        <v>2023</v>
      </c>
      <c r="AB124" s="34"/>
      <c r="AC124" s="119"/>
      <c r="AD124" s="119"/>
      <c r="AE124" s="119"/>
    </row>
    <row r="125" spans="1:31" ht="33" customHeight="1" x14ac:dyDescent="0.25">
      <c r="A125" s="60" t="s">
        <v>19</v>
      </c>
      <c r="B125" s="60" t="s">
        <v>20</v>
      </c>
      <c r="C125" s="60" t="s">
        <v>21</v>
      </c>
      <c r="D125" s="60" t="s">
        <v>19</v>
      </c>
      <c r="E125" s="60" t="s">
        <v>22</v>
      </c>
      <c r="F125" s="60" t="s">
        <v>19</v>
      </c>
      <c r="G125" s="60" t="s">
        <v>23</v>
      </c>
      <c r="H125" s="60" t="s">
        <v>20</v>
      </c>
      <c r="I125" s="60" t="s">
        <v>25</v>
      </c>
      <c r="J125" s="60" t="s">
        <v>19</v>
      </c>
      <c r="K125" s="60" t="s">
        <v>19</v>
      </c>
      <c r="L125" s="60" t="s">
        <v>20</v>
      </c>
      <c r="M125" s="60" t="s">
        <v>19</v>
      </c>
      <c r="N125" s="60" t="s">
        <v>19</v>
      </c>
      <c r="O125" s="60" t="s">
        <v>19</v>
      </c>
      <c r="P125" s="60" t="s">
        <v>19</v>
      </c>
      <c r="Q125" s="60" t="s">
        <v>19</v>
      </c>
      <c r="R125" s="75" t="s">
        <v>192</v>
      </c>
      <c r="S125" s="103" t="s">
        <v>0</v>
      </c>
      <c r="T125" s="66">
        <f>0+550+1550.7</f>
        <v>2100.6999999999998</v>
      </c>
      <c r="U125" s="66">
        <f>0</f>
        <v>0</v>
      </c>
      <c r="V125" s="66">
        <f>0</f>
        <v>0</v>
      </c>
      <c r="W125" s="66">
        <f>0</f>
        <v>0</v>
      </c>
      <c r="X125" s="66">
        <f>0</f>
        <v>0</v>
      </c>
      <c r="Y125" s="66">
        <f>0</f>
        <v>0</v>
      </c>
      <c r="Z125" s="66">
        <f t="shared" si="24"/>
        <v>2100.6999999999998</v>
      </c>
      <c r="AA125" s="65">
        <v>2018</v>
      </c>
      <c r="AB125" s="34"/>
    </row>
    <row r="126" spans="1:31" ht="31.5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68" t="s">
        <v>191</v>
      </c>
      <c r="S126" s="144" t="s">
        <v>10</v>
      </c>
      <c r="T126" s="2">
        <v>2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55">
        <f t="shared" si="24"/>
        <v>2</v>
      </c>
      <c r="AA126" s="44">
        <v>2018</v>
      </c>
      <c r="AB126" s="134"/>
      <c r="AC126" s="119"/>
      <c r="AD126" s="119"/>
      <c r="AE126" s="119"/>
    </row>
    <row r="127" spans="1:31" ht="63" x14ac:dyDescent="0.25">
      <c r="A127" s="60" t="s">
        <v>19</v>
      </c>
      <c r="B127" s="60" t="s">
        <v>20</v>
      </c>
      <c r="C127" s="60" t="s">
        <v>21</v>
      </c>
      <c r="D127" s="60" t="s">
        <v>19</v>
      </c>
      <c r="E127" s="60" t="s">
        <v>22</v>
      </c>
      <c r="F127" s="60" t="s">
        <v>19</v>
      </c>
      <c r="G127" s="60" t="s">
        <v>23</v>
      </c>
      <c r="H127" s="60" t="s">
        <v>20</v>
      </c>
      <c r="I127" s="60" t="s">
        <v>25</v>
      </c>
      <c r="J127" s="60" t="s">
        <v>19</v>
      </c>
      <c r="K127" s="60" t="s">
        <v>294</v>
      </c>
      <c r="L127" s="60" t="s">
        <v>21</v>
      </c>
      <c r="M127" s="60" t="s">
        <v>22</v>
      </c>
      <c r="N127" s="60" t="s">
        <v>22</v>
      </c>
      <c r="O127" s="60" t="s">
        <v>22</v>
      </c>
      <c r="P127" s="60" t="s">
        <v>22</v>
      </c>
      <c r="Q127" s="60" t="s">
        <v>20</v>
      </c>
      <c r="R127" s="148" t="s">
        <v>324</v>
      </c>
      <c r="S127" s="62" t="s">
        <v>0</v>
      </c>
      <c r="T127" s="66">
        <v>0</v>
      </c>
      <c r="U127" s="66">
        <v>3555.5</v>
      </c>
      <c r="V127" s="66">
        <v>5649.7</v>
      </c>
      <c r="W127" s="66">
        <v>5649.7</v>
      </c>
      <c r="X127" s="66">
        <v>5649.7</v>
      </c>
      <c r="Y127" s="66">
        <v>0</v>
      </c>
      <c r="Z127" s="66">
        <f>SUM(T127:Y127)</f>
        <v>20504.600000000002</v>
      </c>
      <c r="AA127" s="65">
        <v>2022</v>
      </c>
      <c r="AC127" s="114"/>
      <c r="AD127" s="114"/>
    </row>
    <row r="128" spans="1:31" ht="47.25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68" t="s">
        <v>82</v>
      </c>
      <c r="S128" s="69" t="s">
        <v>39</v>
      </c>
      <c r="T128" s="2">
        <v>0</v>
      </c>
      <c r="U128" s="2">
        <v>2</v>
      </c>
      <c r="V128" s="2">
        <v>3</v>
      </c>
      <c r="W128" s="2">
        <v>3</v>
      </c>
      <c r="X128" s="2">
        <v>3</v>
      </c>
      <c r="Y128" s="2">
        <v>0</v>
      </c>
      <c r="Z128" s="55">
        <f>T128+U128+V128+W128+X128+Y128</f>
        <v>11</v>
      </c>
      <c r="AA128" s="144">
        <v>2022</v>
      </c>
      <c r="AC128" s="114"/>
      <c r="AD128" s="114"/>
    </row>
    <row r="129" spans="1:30" ht="31.15" customHeight="1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68" t="s">
        <v>83</v>
      </c>
      <c r="S129" s="69" t="s">
        <v>56</v>
      </c>
      <c r="T129" s="4">
        <v>0</v>
      </c>
      <c r="U129" s="4">
        <v>51</v>
      </c>
      <c r="V129" s="4">
        <v>64.3</v>
      </c>
      <c r="W129" s="4">
        <v>64.3</v>
      </c>
      <c r="X129" s="4">
        <v>64.3</v>
      </c>
      <c r="Y129" s="4">
        <v>0</v>
      </c>
      <c r="Z129" s="6">
        <f>T129+U129+V129+W129+X129+Y129</f>
        <v>243.89999999999998</v>
      </c>
      <c r="AA129" s="44">
        <v>2022</v>
      </c>
      <c r="AC129" s="114"/>
      <c r="AD129" s="114"/>
    </row>
    <row r="130" spans="1:30" ht="46.9" customHeight="1" x14ac:dyDescent="0.25">
      <c r="A130" s="60" t="s">
        <v>19</v>
      </c>
      <c r="B130" s="60" t="s">
        <v>20</v>
      </c>
      <c r="C130" s="60" t="s">
        <v>21</v>
      </c>
      <c r="D130" s="60" t="s">
        <v>19</v>
      </c>
      <c r="E130" s="60" t="s">
        <v>22</v>
      </c>
      <c r="F130" s="60" t="s">
        <v>19</v>
      </c>
      <c r="G130" s="60" t="s">
        <v>23</v>
      </c>
      <c r="H130" s="60" t="s">
        <v>20</v>
      </c>
      <c r="I130" s="60" t="s">
        <v>25</v>
      </c>
      <c r="J130" s="60" t="s">
        <v>19</v>
      </c>
      <c r="K130" s="60" t="s">
        <v>19</v>
      </c>
      <c r="L130" s="60" t="s">
        <v>20</v>
      </c>
      <c r="M130" s="60" t="s">
        <v>41</v>
      </c>
      <c r="N130" s="60" t="s">
        <v>20</v>
      </c>
      <c r="O130" s="60" t="s">
        <v>20</v>
      </c>
      <c r="P130" s="60" t="s">
        <v>21</v>
      </c>
      <c r="Q130" s="60" t="s">
        <v>20</v>
      </c>
      <c r="R130" s="75" t="s">
        <v>329</v>
      </c>
      <c r="S130" s="62" t="s">
        <v>0</v>
      </c>
      <c r="T130" s="66">
        <v>0</v>
      </c>
      <c r="U130" s="66">
        <v>103354.8</v>
      </c>
      <c r="V130" s="66">
        <v>58757.599999999999</v>
      </c>
      <c r="W130" s="66">
        <v>0</v>
      </c>
      <c r="X130" s="66">
        <v>0</v>
      </c>
      <c r="Y130" s="66">
        <v>0</v>
      </c>
      <c r="Z130" s="66">
        <f>SUM(T130:Y130)</f>
        <v>162112.4</v>
      </c>
      <c r="AA130" s="65">
        <v>2020</v>
      </c>
      <c r="AC130" s="114"/>
      <c r="AD130" s="114"/>
    </row>
    <row r="131" spans="1:30" ht="31.5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3" t="s">
        <v>326</v>
      </c>
      <c r="S131" s="44" t="s">
        <v>9</v>
      </c>
      <c r="T131" s="3">
        <v>0</v>
      </c>
      <c r="U131" s="3">
        <v>50</v>
      </c>
      <c r="V131" s="3">
        <v>50</v>
      </c>
      <c r="W131" s="3">
        <v>0</v>
      </c>
      <c r="X131" s="3">
        <v>0</v>
      </c>
      <c r="Y131" s="3">
        <v>0</v>
      </c>
      <c r="Z131" s="6">
        <f t="shared" ref="Z131:Z132" si="25">SUM(T131:Y131)</f>
        <v>100</v>
      </c>
      <c r="AA131" s="80">
        <v>2020</v>
      </c>
      <c r="AC131" s="114"/>
      <c r="AD131" s="114"/>
    </row>
    <row r="132" spans="1:30" ht="33" customHeight="1" x14ac:dyDescent="0.2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68" t="s">
        <v>328</v>
      </c>
      <c r="S132" s="69" t="s">
        <v>327</v>
      </c>
      <c r="T132" s="4">
        <v>0</v>
      </c>
      <c r="U132" s="4">
        <v>0</v>
      </c>
      <c r="V132" s="4">
        <v>88</v>
      </c>
      <c r="W132" s="4">
        <v>0</v>
      </c>
      <c r="X132" s="4">
        <v>0</v>
      </c>
      <c r="Y132" s="4">
        <v>0</v>
      </c>
      <c r="Z132" s="6">
        <f t="shared" si="25"/>
        <v>88</v>
      </c>
      <c r="AA132" s="80">
        <v>2020</v>
      </c>
      <c r="AC132" s="114"/>
      <c r="AD132" s="114"/>
    </row>
    <row r="133" spans="1:30" s="57" customFormat="1" ht="33" customHeight="1" x14ac:dyDescent="0.25">
      <c r="A133" s="49"/>
      <c r="B133" s="49"/>
      <c r="C133" s="49"/>
      <c r="D133" s="49"/>
      <c r="E133" s="49"/>
      <c r="F133" s="49"/>
      <c r="G133" s="49"/>
      <c r="H133" s="49"/>
      <c r="I133" s="49"/>
      <c r="J133" s="49"/>
      <c r="K133" s="49"/>
      <c r="L133" s="49"/>
      <c r="M133" s="49"/>
      <c r="N133" s="49"/>
      <c r="O133" s="49"/>
      <c r="P133" s="49"/>
      <c r="Q133" s="49"/>
      <c r="R133" s="82" t="s">
        <v>60</v>
      </c>
      <c r="S133" s="53" t="s">
        <v>0</v>
      </c>
      <c r="T133" s="52">
        <f t="shared" ref="T133:Y133" si="26">T157+T199+T143+T445</f>
        <v>147061.215</v>
      </c>
      <c r="U133" s="52">
        <f t="shared" si="26"/>
        <v>92532.200000000012</v>
      </c>
      <c r="V133" s="52">
        <f t="shared" si="26"/>
        <v>25190.3</v>
      </c>
      <c r="W133" s="52">
        <f t="shared" si="26"/>
        <v>25190.3</v>
      </c>
      <c r="X133" s="52">
        <f t="shared" si="26"/>
        <v>25190.3</v>
      </c>
      <c r="Y133" s="52">
        <f t="shared" si="26"/>
        <v>14428.3</v>
      </c>
      <c r="Z133" s="52">
        <f>T133+U133+V133+W133+X133+Y133</f>
        <v>329592.61499999999</v>
      </c>
      <c r="AA133" s="53">
        <v>2023</v>
      </c>
      <c r="AB133" s="121"/>
      <c r="AC133" s="56"/>
    </row>
    <row r="134" spans="1:30" s="57" customFormat="1" ht="62.45" hidden="1" customHeight="1" x14ac:dyDescent="0.25">
      <c r="A134" s="49"/>
      <c r="B134" s="49"/>
      <c r="C134" s="49"/>
      <c r="D134" s="49" t="s">
        <v>19</v>
      </c>
      <c r="E134" s="49" t="s">
        <v>22</v>
      </c>
      <c r="F134" s="49" t="s">
        <v>19</v>
      </c>
      <c r="G134" s="49" t="s">
        <v>23</v>
      </c>
      <c r="H134" s="49" t="s">
        <v>20</v>
      </c>
      <c r="I134" s="49" t="s">
        <v>25</v>
      </c>
      <c r="J134" s="49" t="s">
        <v>19</v>
      </c>
      <c r="K134" s="49" t="s">
        <v>294</v>
      </c>
      <c r="L134" s="49" t="s">
        <v>21</v>
      </c>
      <c r="M134" s="49" t="s">
        <v>22</v>
      </c>
      <c r="N134" s="49" t="s">
        <v>22</v>
      </c>
      <c r="O134" s="49" t="s">
        <v>22</v>
      </c>
      <c r="P134" s="49" t="s">
        <v>22</v>
      </c>
      <c r="Q134" s="49" t="s">
        <v>21</v>
      </c>
      <c r="R134" s="82" t="s">
        <v>297</v>
      </c>
      <c r="S134" s="53" t="s">
        <v>0</v>
      </c>
      <c r="T134" s="52"/>
      <c r="U134" s="52"/>
      <c r="V134" s="52"/>
      <c r="W134" s="52"/>
      <c r="X134" s="52"/>
      <c r="Y134" s="52"/>
      <c r="Z134" s="52">
        <f t="shared" ref="Z134" si="27">T134+U134+V134+W134+X134+Y134</f>
        <v>0</v>
      </c>
      <c r="AA134" s="53">
        <v>2022</v>
      </c>
      <c r="AB134" s="121"/>
      <c r="AC134" s="56"/>
    </row>
    <row r="135" spans="1:30" s="57" customFormat="1" ht="47.25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3" t="s">
        <v>266</v>
      </c>
      <c r="S135" s="44" t="s">
        <v>39</v>
      </c>
      <c r="T135" s="2">
        <f t="shared" ref="T135:Y135" si="28">T446+T162+T201</f>
        <v>58</v>
      </c>
      <c r="U135" s="2">
        <f t="shared" si="28"/>
        <v>60</v>
      </c>
      <c r="V135" s="2">
        <f t="shared" si="28"/>
        <v>48</v>
      </c>
      <c r="W135" s="2">
        <f t="shared" si="28"/>
        <v>48</v>
      </c>
      <c r="X135" s="2">
        <f t="shared" si="28"/>
        <v>48</v>
      </c>
      <c r="Y135" s="2">
        <f t="shared" si="28"/>
        <v>18</v>
      </c>
      <c r="Z135" s="48">
        <f>SUM(T135:Y135)</f>
        <v>280</v>
      </c>
      <c r="AA135" s="44">
        <v>2023</v>
      </c>
      <c r="AB135" s="100"/>
      <c r="AC135" s="56"/>
    </row>
    <row r="136" spans="1:30" s="57" customFormat="1" ht="47.25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3" t="s">
        <v>267</v>
      </c>
      <c r="S136" s="44" t="s">
        <v>56</v>
      </c>
      <c r="T136" s="4">
        <f>T446+T160+T200</f>
        <v>63</v>
      </c>
      <c r="U136" s="4">
        <f>U447+U160+U200</f>
        <v>102.4</v>
      </c>
      <c r="V136" s="4">
        <f>V447+V160+V200</f>
        <v>80.3</v>
      </c>
      <c r="W136" s="4">
        <f>W447+W160+W200</f>
        <v>80.3</v>
      </c>
      <c r="X136" s="4">
        <f>X447+X160+X200</f>
        <v>80.3</v>
      </c>
      <c r="Y136" s="4">
        <f>Y447+Y160+Y200</f>
        <v>22.1</v>
      </c>
      <c r="Z136" s="5">
        <f>SUM(T136:Y136)</f>
        <v>428.40000000000003</v>
      </c>
      <c r="AA136" s="44">
        <v>2023</v>
      </c>
      <c r="AB136" s="121"/>
      <c r="AC136" s="56"/>
    </row>
    <row r="137" spans="1:30" s="8" customFormat="1" ht="47.45" customHeight="1" x14ac:dyDescent="0.2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68" t="s">
        <v>138</v>
      </c>
      <c r="S137" s="144" t="s">
        <v>9</v>
      </c>
      <c r="T137" s="3">
        <f>((4338+39.6)+63)/13987*100</f>
        <v>31.748051762350755</v>
      </c>
      <c r="U137" s="3">
        <f>((4338+39.6)+63+80.3)/13987*100</f>
        <v>32.322156287981699</v>
      </c>
      <c r="V137" s="3">
        <f>((4338+39.6)+63+80.3+80.3)/13987*100</f>
        <v>32.896260813612642</v>
      </c>
      <c r="W137" s="3">
        <f>((4338+39.6)+63+80.3+80.3+80.3)/13987*100</f>
        <v>33.470365339243592</v>
      </c>
      <c r="X137" s="3">
        <f>((4338+39.6)+63+80.3+80.3+80.3+80.3)/13987*100</f>
        <v>34.044469864874536</v>
      </c>
      <c r="Y137" s="3">
        <f>((4338+39.6)+63+80.3+80.3+80.3+80.3+22.1)/13987*100</f>
        <v>34.202473725602353</v>
      </c>
      <c r="Z137" s="5">
        <f>Y137</f>
        <v>34.202473725602353</v>
      </c>
      <c r="AA137" s="144">
        <v>2223</v>
      </c>
      <c r="AB137" s="113"/>
      <c r="AC137" s="67"/>
    </row>
    <row r="138" spans="1:30" ht="47.25" x14ac:dyDescent="0.2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7" t="s">
        <v>139</v>
      </c>
      <c r="S138" s="144" t="s">
        <v>9</v>
      </c>
      <c r="T138" s="3">
        <f>30/58*100</f>
        <v>51.724137931034484</v>
      </c>
      <c r="U138" s="4">
        <v>91</v>
      </c>
      <c r="V138" s="4">
        <v>91</v>
      </c>
      <c r="W138" s="4">
        <v>91</v>
      </c>
      <c r="X138" s="4">
        <v>91</v>
      </c>
      <c r="Y138" s="4">
        <v>0</v>
      </c>
      <c r="Z138" s="5">
        <v>91</v>
      </c>
      <c r="AA138" s="144">
        <v>2022</v>
      </c>
      <c r="AB138" s="121"/>
    </row>
    <row r="139" spans="1:30" ht="62.45" customHeight="1" x14ac:dyDescent="0.2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7" t="s">
        <v>291</v>
      </c>
      <c r="S139" s="144" t="s">
        <v>292</v>
      </c>
      <c r="T139" s="4">
        <v>0</v>
      </c>
      <c r="U139" s="4">
        <v>23.7</v>
      </c>
      <c r="V139" s="4">
        <v>23.7</v>
      </c>
      <c r="W139" s="4">
        <v>23.7</v>
      </c>
      <c r="X139" s="4">
        <v>23.7</v>
      </c>
      <c r="Y139" s="4">
        <v>23.7</v>
      </c>
      <c r="Z139" s="5">
        <v>23.7</v>
      </c>
      <c r="AA139" s="144">
        <v>2023</v>
      </c>
      <c r="AB139" s="121"/>
    </row>
    <row r="140" spans="1:30" s="57" customFormat="1" ht="47.25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3" t="s">
        <v>140</v>
      </c>
      <c r="S140" s="44" t="s">
        <v>9</v>
      </c>
      <c r="T140" s="3">
        <f>27.6/336.9*100</f>
        <v>8.1923419412288521</v>
      </c>
      <c r="U140" s="3">
        <v>43.1</v>
      </c>
      <c r="V140" s="3">
        <v>43.1</v>
      </c>
      <c r="W140" s="3">
        <v>43.1</v>
      </c>
      <c r="X140" s="3">
        <v>43.1</v>
      </c>
      <c r="Y140" s="3">
        <v>43.1</v>
      </c>
      <c r="Z140" s="6">
        <v>43.1</v>
      </c>
      <c r="AA140" s="44">
        <v>2023</v>
      </c>
      <c r="AB140" s="121"/>
      <c r="AC140" s="56"/>
    </row>
    <row r="141" spans="1:30" s="57" customFormat="1" ht="63" x14ac:dyDescent="0.25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1" t="s">
        <v>141</v>
      </c>
      <c r="S141" s="62" t="s">
        <v>42</v>
      </c>
      <c r="T141" s="63">
        <v>0</v>
      </c>
      <c r="U141" s="63">
        <v>1</v>
      </c>
      <c r="V141" s="63">
        <v>1</v>
      </c>
      <c r="W141" s="63">
        <v>1</v>
      </c>
      <c r="X141" s="63">
        <v>1</v>
      </c>
      <c r="Y141" s="63">
        <v>0</v>
      </c>
      <c r="Z141" s="64">
        <v>1</v>
      </c>
      <c r="AA141" s="65">
        <v>2022</v>
      </c>
      <c r="AB141" s="121"/>
      <c r="AC141" s="56"/>
    </row>
    <row r="142" spans="1:30" s="57" customFormat="1" ht="31.5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3" t="s">
        <v>80</v>
      </c>
      <c r="S142" s="44" t="s">
        <v>39</v>
      </c>
      <c r="T142" s="47">
        <v>0</v>
      </c>
      <c r="U142" s="47">
        <f>U446</f>
        <v>33</v>
      </c>
      <c r="V142" s="47">
        <f>V446</f>
        <v>30</v>
      </c>
      <c r="W142" s="47">
        <f>W446</f>
        <v>30</v>
      </c>
      <c r="X142" s="47">
        <f>X446</f>
        <v>30</v>
      </c>
      <c r="Y142" s="47">
        <v>0</v>
      </c>
      <c r="Z142" s="55">
        <f t="shared" ref="Z142:Z143" si="29">SUM(T142:Y142)</f>
        <v>123</v>
      </c>
      <c r="AA142" s="44">
        <v>2022</v>
      </c>
      <c r="AB142" s="128"/>
      <c r="AC142" s="123"/>
      <c r="AD142" s="123"/>
    </row>
    <row r="143" spans="1:30" s="57" customFormat="1" ht="30.6" customHeight="1" x14ac:dyDescent="0.25">
      <c r="A143" s="60"/>
      <c r="B143" s="60"/>
      <c r="C143" s="60"/>
      <c r="D143" s="60" t="s">
        <v>19</v>
      </c>
      <c r="E143" s="60" t="s">
        <v>22</v>
      </c>
      <c r="F143" s="60" t="s">
        <v>19</v>
      </c>
      <c r="G143" s="60" t="s">
        <v>23</v>
      </c>
      <c r="H143" s="60" t="s">
        <v>20</v>
      </c>
      <c r="I143" s="60" t="s">
        <v>25</v>
      </c>
      <c r="J143" s="60" t="s">
        <v>19</v>
      </c>
      <c r="K143" s="60" t="s">
        <v>19</v>
      </c>
      <c r="L143" s="60" t="s">
        <v>21</v>
      </c>
      <c r="M143" s="60" t="s">
        <v>19</v>
      </c>
      <c r="N143" s="60" t="s">
        <v>19</v>
      </c>
      <c r="O143" s="60" t="s">
        <v>19</v>
      </c>
      <c r="P143" s="60" t="s">
        <v>19</v>
      </c>
      <c r="Q143" s="60" t="s">
        <v>19</v>
      </c>
      <c r="R143" s="147" t="s">
        <v>296</v>
      </c>
      <c r="S143" s="65" t="s">
        <v>0</v>
      </c>
      <c r="T143" s="66">
        <f t="shared" ref="T143:Y143" si="30">T145+T147+T149+T151</f>
        <v>1307</v>
      </c>
      <c r="U143" s="66">
        <f t="shared" si="30"/>
        <v>0</v>
      </c>
      <c r="V143" s="66">
        <f t="shared" si="30"/>
        <v>0</v>
      </c>
      <c r="W143" s="66">
        <f t="shared" si="30"/>
        <v>0</v>
      </c>
      <c r="X143" s="66">
        <f t="shared" si="30"/>
        <v>0</v>
      </c>
      <c r="Y143" s="66">
        <f t="shared" si="30"/>
        <v>0</v>
      </c>
      <c r="Z143" s="66">
        <f t="shared" si="29"/>
        <v>1307</v>
      </c>
      <c r="AA143" s="65">
        <v>2018</v>
      </c>
      <c r="AB143" s="121"/>
      <c r="AC143" s="123"/>
      <c r="AD143" s="123"/>
    </row>
    <row r="144" spans="1:30" s="57" customFormat="1" ht="63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106" t="s">
        <v>311</v>
      </c>
      <c r="S144" s="58" t="s">
        <v>39</v>
      </c>
      <c r="T144" s="47">
        <f>T146+T148+T150+T152</f>
        <v>39</v>
      </c>
      <c r="U144" s="47">
        <f t="shared" ref="U144:Y144" si="31">U146+U148+U150+U152</f>
        <v>0</v>
      </c>
      <c r="V144" s="47">
        <f t="shared" si="31"/>
        <v>0</v>
      </c>
      <c r="W144" s="47">
        <f t="shared" si="31"/>
        <v>0</v>
      </c>
      <c r="X144" s="47">
        <f t="shared" si="31"/>
        <v>0</v>
      </c>
      <c r="Y144" s="47">
        <f t="shared" si="31"/>
        <v>0</v>
      </c>
      <c r="Z144" s="55">
        <f>T144</f>
        <v>39</v>
      </c>
      <c r="AA144" s="44">
        <v>2018</v>
      </c>
      <c r="AB144" s="121"/>
      <c r="AC144" s="123"/>
      <c r="AD144" s="123"/>
    </row>
    <row r="145" spans="1:30" s="57" customFormat="1" ht="30" customHeight="1" x14ac:dyDescent="0.25">
      <c r="A145" s="60" t="s">
        <v>19</v>
      </c>
      <c r="B145" s="60" t="s">
        <v>19</v>
      </c>
      <c r="C145" s="60" t="s">
        <v>23</v>
      </c>
      <c r="D145" s="60" t="s">
        <v>19</v>
      </c>
      <c r="E145" s="60" t="s">
        <v>22</v>
      </c>
      <c r="F145" s="60" t="s">
        <v>19</v>
      </c>
      <c r="G145" s="60" t="s">
        <v>23</v>
      </c>
      <c r="H145" s="60" t="s">
        <v>20</v>
      </c>
      <c r="I145" s="60" t="s">
        <v>25</v>
      </c>
      <c r="J145" s="60" t="s">
        <v>19</v>
      </c>
      <c r="K145" s="60" t="s">
        <v>19</v>
      </c>
      <c r="L145" s="60" t="s">
        <v>21</v>
      </c>
      <c r="M145" s="60" t="s">
        <v>19</v>
      </c>
      <c r="N145" s="60" t="s">
        <v>19</v>
      </c>
      <c r="O145" s="60" t="s">
        <v>19</v>
      </c>
      <c r="P145" s="60" t="s">
        <v>19</v>
      </c>
      <c r="Q145" s="60" t="s">
        <v>19</v>
      </c>
      <c r="R145" s="147" t="s">
        <v>296</v>
      </c>
      <c r="S145" s="62" t="s">
        <v>0</v>
      </c>
      <c r="T145" s="1">
        <v>474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66">
        <f>SUM(T145:Y145)</f>
        <v>474</v>
      </c>
      <c r="AA145" s="65">
        <v>2018</v>
      </c>
      <c r="AB145" s="132"/>
      <c r="AC145" s="124"/>
      <c r="AD145" s="124"/>
    </row>
    <row r="146" spans="1:30" s="57" customFormat="1" ht="78.75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3" t="s">
        <v>312</v>
      </c>
      <c r="S146" s="58" t="s">
        <v>39</v>
      </c>
      <c r="T146" s="47">
        <v>15</v>
      </c>
      <c r="U146" s="47">
        <v>0</v>
      </c>
      <c r="V146" s="47">
        <v>0</v>
      </c>
      <c r="W146" s="47">
        <v>0</v>
      </c>
      <c r="X146" s="47">
        <v>0</v>
      </c>
      <c r="Y146" s="47">
        <v>0</v>
      </c>
      <c r="Z146" s="55">
        <f>T146+U146+V146+W146+X146</f>
        <v>15</v>
      </c>
      <c r="AA146" s="44">
        <v>2018</v>
      </c>
      <c r="AB146" s="121"/>
      <c r="AC146" s="56"/>
    </row>
    <row r="147" spans="1:30" s="57" customFormat="1" ht="30" customHeight="1" x14ac:dyDescent="0.25">
      <c r="A147" s="60" t="s">
        <v>19</v>
      </c>
      <c r="B147" s="60" t="s">
        <v>19</v>
      </c>
      <c r="C147" s="60" t="s">
        <v>25</v>
      </c>
      <c r="D147" s="60" t="s">
        <v>19</v>
      </c>
      <c r="E147" s="60" t="s">
        <v>22</v>
      </c>
      <c r="F147" s="60" t="s">
        <v>19</v>
      </c>
      <c r="G147" s="60" t="s">
        <v>23</v>
      </c>
      <c r="H147" s="60" t="s">
        <v>20</v>
      </c>
      <c r="I147" s="60" t="s">
        <v>25</v>
      </c>
      <c r="J147" s="60" t="s">
        <v>19</v>
      </c>
      <c r="K147" s="60" t="s">
        <v>19</v>
      </c>
      <c r="L147" s="60" t="s">
        <v>21</v>
      </c>
      <c r="M147" s="60" t="s">
        <v>19</v>
      </c>
      <c r="N147" s="60" t="s">
        <v>19</v>
      </c>
      <c r="O147" s="60" t="s">
        <v>19</v>
      </c>
      <c r="P147" s="60" t="s">
        <v>19</v>
      </c>
      <c r="Q147" s="60" t="s">
        <v>19</v>
      </c>
      <c r="R147" s="147" t="s">
        <v>296</v>
      </c>
      <c r="S147" s="62" t="s">
        <v>0</v>
      </c>
      <c r="T147" s="1">
        <f>0+126+400-100</f>
        <v>426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66">
        <f t="shared" ref="Z147:Z152" si="32">SUM(T147:Y147)</f>
        <v>426</v>
      </c>
      <c r="AA147" s="65">
        <v>2018</v>
      </c>
      <c r="AB147" s="34"/>
      <c r="AC147" s="123"/>
      <c r="AD147" s="123"/>
    </row>
    <row r="148" spans="1:30" s="57" customFormat="1" ht="78.75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3" t="s">
        <v>313</v>
      </c>
      <c r="S148" s="58" t="s">
        <v>39</v>
      </c>
      <c r="T148" s="47">
        <v>4</v>
      </c>
      <c r="U148" s="47">
        <v>0</v>
      </c>
      <c r="V148" s="47">
        <v>0</v>
      </c>
      <c r="W148" s="47">
        <v>0</v>
      </c>
      <c r="X148" s="47">
        <v>0</v>
      </c>
      <c r="Y148" s="47">
        <v>0</v>
      </c>
      <c r="Z148" s="55">
        <f t="shared" si="32"/>
        <v>4</v>
      </c>
      <c r="AA148" s="44">
        <v>2018</v>
      </c>
      <c r="AB148" s="122"/>
      <c r="AC148" s="123"/>
    </row>
    <row r="149" spans="1:30" s="57" customFormat="1" ht="30" customHeight="1" x14ac:dyDescent="0.25">
      <c r="A149" s="60" t="s">
        <v>19</v>
      </c>
      <c r="B149" s="60" t="s">
        <v>19</v>
      </c>
      <c r="C149" s="60" t="s">
        <v>22</v>
      </c>
      <c r="D149" s="60" t="s">
        <v>19</v>
      </c>
      <c r="E149" s="60" t="s">
        <v>22</v>
      </c>
      <c r="F149" s="60" t="s">
        <v>19</v>
      </c>
      <c r="G149" s="60" t="s">
        <v>23</v>
      </c>
      <c r="H149" s="60" t="s">
        <v>20</v>
      </c>
      <c r="I149" s="60" t="s">
        <v>25</v>
      </c>
      <c r="J149" s="60" t="s">
        <v>19</v>
      </c>
      <c r="K149" s="60" t="s">
        <v>19</v>
      </c>
      <c r="L149" s="60" t="s">
        <v>21</v>
      </c>
      <c r="M149" s="60" t="s">
        <v>19</v>
      </c>
      <c r="N149" s="60" t="s">
        <v>19</v>
      </c>
      <c r="O149" s="60" t="s">
        <v>19</v>
      </c>
      <c r="P149" s="60" t="s">
        <v>19</v>
      </c>
      <c r="Q149" s="60" t="s">
        <v>19</v>
      </c>
      <c r="R149" s="147" t="s">
        <v>296</v>
      </c>
      <c r="S149" s="62" t="s">
        <v>0</v>
      </c>
      <c r="T149" s="1">
        <v>250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66">
        <f t="shared" si="32"/>
        <v>250</v>
      </c>
      <c r="AA149" s="65">
        <v>2018</v>
      </c>
      <c r="AB149" s="34"/>
      <c r="AC149" s="123"/>
      <c r="AD149" s="123"/>
    </row>
    <row r="150" spans="1:30" s="57" customFormat="1" ht="78.75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3" t="s">
        <v>314</v>
      </c>
      <c r="S150" s="58" t="s">
        <v>39</v>
      </c>
      <c r="T150" s="47">
        <v>16</v>
      </c>
      <c r="U150" s="47">
        <v>0</v>
      </c>
      <c r="V150" s="47">
        <v>0</v>
      </c>
      <c r="W150" s="47">
        <v>0</v>
      </c>
      <c r="X150" s="47">
        <v>0</v>
      </c>
      <c r="Y150" s="47">
        <v>0</v>
      </c>
      <c r="Z150" s="55">
        <f t="shared" si="32"/>
        <v>16</v>
      </c>
      <c r="AA150" s="44">
        <v>2018</v>
      </c>
      <c r="AB150" s="121"/>
      <c r="AC150" s="56"/>
    </row>
    <row r="151" spans="1:30" s="57" customFormat="1" ht="34.15" customHeight="1" x14ac:dyDescent="0.25">
      <c r="A151" s="60" t="s">
        <v>19</v>
      </c>
      <c r="B151" s="60" t="s">
        <v>19</v>
      </c>
      <c r="C151" s="60" t="s">
        <v>26</v>
      </c>
      <c r="D151" s="60" t="s">
        <v>19</v>
      </c>
      <c r="E151" s="60" t="s">
        <v>22</v>
      </c>
      <c r="F151" s="60" t="s">
        <v>19</v>
      </c>
      <c r="G151" s="60" t="s">
        <v>23</v>
      </c>
      <c r="H151" s="60" t="s">
        <v>20</v>
      </c>
      <c r="I151" s="60" t="s">
        <v>25</v>
      </c>
      <c r="J151" s="60" t="s">
        <v>19</v>
      </c>
      <c r="K151" s="60" t="s">
        <v>19</v>
      </c>
      <c r="L151" s="60" t="s">
        <v>21</v>
      </c>
      <c r="M151" s="60" t="s">
        <v>19</v>
      </c>
      <c r="N151" s="60" t="s">
        <v>19</v>
      </c>
      <c r="O151" s="60" t="s">
        <v>19</v>
      </c>
      <c r="P151" s="60" t="s">
        <v>19</v>
      </c>
      <c r="Q151" s="60" t="s">
        <v>19</v>
      </c>
      <c r="R151" s="147" t="s">
        <v>296</v>
      </c>
      <c r="S151" s="62" t="s">
        <v>0</v>
      </c>
      <c r="T151" s="1">
        <f>480-430+100+55-48</f>
        <v>157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66">
        <f t="shared" si="32"/>
        <v>157</v>
      </c>
      <c r="AA151" s="65">
        <v>2018</v>
      </c>
      <c r="AB151" s="34"/>
      <c r="AC151" s="123"/>
      <c r="AD151" s="123"/>
    </row>
    <row r="152" spans="1:30" s="57" customFormat="1" ht="78.75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3" t="s">
        <v>315</v>
      </c>
      <c r="S152" s="58" t="s">
        <v>39</v>
      </c>
      <c r="T152" s="47">
        <v>4</v>
      </c>
      <c r="U152" s="47">
        <v>0</v>
      </c>
      <c r="V152" s="47">
        <v>0</v>
      </c>
      <c r="W152" s="47">
        <v>0</v>
      </c>
      <c r="X152" s="47">
        <v>0</v>
      </c>
      <c r="Y152" s="47">
        <v>0</v>
      </c>
      <c r="Z152" s="55">
        <f t="shared" si="32"/>
        <v>4</v>
      </c>
      <c r="AA152" s="44">
        <v>2018</v>
      </c>
      <c r="AB152" s="121"/>
      <c r="AC152" s="56"/>
    </row>
    <row r="153" spans="1:30" s="57" customFormat="1" ht="47.25" x14ac:dyDescent="0.25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1" t="s">
        <v>144</v>
      </c>
      <c r="S153" s="62" t="s">
        <v>42</v>
      </c>
      <c r="T153" s="63">
        <v>0</v>
      </c>
      <c r="U153" s="63">
        <v>1</v>
      </c>
      <c r="V153" s="63">
        <v>1</v>
      </c>
      <c r="W153" s="63">
        <v>1</v>
      </c>
      <c r="X153" s="63">
        <v>1</v>
      </c>
      <c r="Y153" s="63">
        <v>0</v>
      </c>
      <c r="Z153" s="64">
        <v>1</v>
      </c>
      <c r="AA153" s="65">
        <v>2022</v>
      </c>
      <c r="AB153" s="121"/>
      <c r="AC153" s="56"/>
    </row>
    <row r="154" spans="1:30" ht="31.5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3" t="s">
        <v>85</v>
      </c>
      <c r="S154" s="44" t="s">
        <v>39</v>
      </c>
      <c r="T154" s="2">
        <v>0</v>
      </c>
      <c r="U154" s="2">
        <v>2</v>
      </c>
      <c r="V154" s="2">
        <v>2</v>
      </c>
      <c r="W154" s="2">
        <v>2</v>
      </c>
      <c r="X154" s="2">
        <v>2</v>
      </c>
      <c r="Y154" s="2">
        <v>0</v>
      </c>
      <c r="Z154" s="55">
        <f>SUM(T154:Y154)</f>
        <v>8</v>
      </c>
      <c r="AA154" s="44">
        <v>2022</v>
      </c>
      <c r="AC154" s="114"/>
      <c r="AD154" s="114"/>
    </row>
    <row r="155" spans="1:30" ht="47.25" x14ac:dyDescent="0.25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1" t="s">
        <v>145</v>
      </c>
      <c r="S155" s="62" t="s">
        <v>42</v>
      </c>
      <c r="T155" s="63">
        <v>0</v>
      </c>
      <c r="U155" s="63">
        <v>1</v>
      </c>
      <c r="V155" s="63">
        <v>1</v>
      </c>
      <c r="W155" s="63">
        <v>1</v>
      </c>
      <c r="X155" s="63">
        <v>1</v>
      </c>
      <c r="Y155" s="63">
        <v>0</v>
      </c>
      <c r="Z155" s="64">
        <v>1</v>
      </c>
      <c r="AA155" s="65">
        <v>2022</v>
      </c>
      <c r="AC155" s="114"/>
      <c r="AD155" s="114"/>
    </row>
    <row r="156" spans="1:30" s="83" customFormat="1" ht="47.25" x14ac:dyDescent="0.2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43" t="s">
        <v>146</v>
      </c>
      <c r="S156" s="69" t="s">
        <v>39</v>
      </c>
      <c r="T156" s="2">
        <v>0</v>
      </c>
      <c r="U156" s="2">
        <v>30</v>
      </c>
      <c r="V156" s="2">
        <v>30</v>
      </c>
      <c r="W156" s="2">
        <v>30</v>
      </c>
      <c r="X156" s="2">
        <v>30</v>
      </c>
      <c r="Y156" s="2">
        <v>0</v>
      </c>
      <c r="Z156" s="48">
        <f t="shared" ref="Z156:Z160" si="33">T156+U156+V156+W156+X156+Y156</f>
        <v>120</v>
      </c>
      <c r="AA156" s="44">
        <v>2022</v>
      </c>
      <c r="AB156" s="113"/>
    </row>
    <row r="157" spans="1:30" s="83" customFormat="1" ht="62.45" customHeight="1" x14ac:dyDescent="0.25">
      <c r="A157" s="60"/>
      <c r="B157" s="60"/>
      <c r="C157" s="60"/>
      <c r="D157" s="60" t="s">
        <v>19</v>
      </c>
      <c r="E157" s="60" t="s">
        <v>25</v>
      </c>
      <c r="F157" s="60" t="s">
        <v>19</v>
      </c>
      <c r="G157" s="60" t="s">
        <v>44</v>
      </c>
      <c r="H157" s="60" t="s">
        <v>20</v>
      </c>
      <c r="I157" s="60" t="s">
        <v>25</v>
      </c>
      <c r="J157" s="60" t="s">
        <v>19</v>
      </c>
      <c r="K157" s="60" t="s">
        <v>19</v>
      </c>
      <c r="L157" s="60" t="s">
        <v>21</v>
      </c>
      <c r="M157" s="60" t="s">
        <v>19</v>
      </c>
      <c r="N157" s="60" t="s">
        <v>19</v>
      </c>
      <c r="O157" s="60" t="s">
        <v>19</v>
      </c>
      <c r="P157" s="60" t="s">
        <v>19</v>
      </c>
      <c r="Q157" s="60" t="s">
        <v>19</v>
      </c>
      <c r="R157" s="164" t="s">
        <v>147</v>
      </c>
      <c r="S157" s="65" t="s">
        <v>0</v>
      </c>
      <c r="T157" s="66">
        <f>T163+T170+T177+T184+T191</f>
        <v>123487.5</v>
      </c>
      <c r="U157" s="66">
        <f t="shared" ref="U157:Y157" si="34">U163+U170+U177+U184+U191</f>
        <v>73541.900000000009</v>
      </c>
      <c r="V157" s="66">
        <f t="shared" si="34"/>
        <v>6200</v>
      </c>
      <c r="W157" s="66">
        <f t="shared" si="34"/>
        <v>6200</v>
      </c>
      <c r="X157" s="66">
        <f t="shared" si="34"/>
        <v>6200</v>
      </c>
      <c r="Y157" s="66">
        <f t="shared" si="34"/>
        <v>6200</v>
      </c>
      <c r="Z157" s="66">
        <f>T157+U157+V157+W157+X157+Y157</f>
        <v>221829.40000000002</v>
      </c>
      <c r="AA157" s="65">
        <v>2023</v>
      </c>
      <c r="AB157" s="118"/>
    </row>
    <row r="158" spans="1:30" s="83" customFormat="1" ht="19.899999999999999" hidden="1" customHeight="1" x14ac:dyDescent="0.25">
      <c r="A158" s="60"/>
      <c r="B158" s="60"/>
      <c r="C158" s="60"/>
      <c r="D158" s="60" t="s">
        <v>19</v>
      </c>
      <c r="E158" s="60" t="s">
        <v>25</v>
      </c>
      <c r="F158" s="60" t="s">
        <v>19</v>
      </c>
      <c r="G158" s="60" t="s">
        <v>44</v>
      </c>
      <c r="H158" s="60" t="s">
        <v>20</v>
      </c>
      <c r="I158" s="60" t="s">
        <v>25</v>
      </c>
      <c r="J158" s="60" t="s">
        <v>19</v>
      </c>
      <c r="K158" s="60" t="s">
        <v>19</v>
      </c>
      <c r="L158" s="60" t="s">
        <v>21</v>
      </c>
      <c r="M158" s="60" t="s">
        <v>38</v>
      </c>
      <c r="N158" s="60" t="s">
        <v>19</v>
      </c>
      <c r="O158" s="60" t="s">
        <v>21</v>
      </c>
      <c r="P158" s="60" t="s">
        <v>20</v>
      </c>
      <c r="Q158" s="60" t="s">
        <v>40</v>
      </c>
      <c r="R158" s="165"/>
      <c r="S158" s="62" t="s">
        <v>0</v>
      </c>
      <c r="T158" s="1" t="e">
        <f>#REF!+#REF!+#REF!+#REF!</f>
        <v>#REF!</v>
      </c>
      <c r="U158" s="1" t="e">
        <f>#REF!+#REF!+#REF!+#REF!</f>
        <v>#REF!</v>
      </c>
      <c r="V158" s="1" t="e">
        <f>#REF!+#REF!+#REF!+#REF!</f>
        <v>#REF!</v>
      </c>
      <c r="W158" s="1" t="e">
        <f>#REF!+#REF!+#REF!+#REF!</f>
        <v>#REF!</v>
      </c>
      <c r="X158" s="1" t="e">
        <f>#REF!+#REF!+#REF!+#REF!</f>
        <v>#REF!</v>
      </c>
      <c r="Y158" s="1" t="e">
        <f>#REF!+#REF!+#REF!+#REF!</f>
        <v>#REF!</v>
      </c>
      <c r="Z158" s="66" t="e">
        <f>T158+U158+V158+W158+X158+Y158</f>
        <v>#REF!</v>
      </c>
      <c r="AA158" s="65">
        <v>2023</v>
      </c>
      <c r="AB158" s="113"/>
    </row>
    <row r="159" spans="1:30" s="83" customFormat="1" ht="19.899999999999999" hidden="1" customHeight="1" x14ac:dyDescent="0.25">
      <c r="A159" s="60"/>
      <c r="B159" s="60"/>
      <c r="C159" s="60"/>
      <c r="D159" s="60" t="s">
        <v>19</v>
      </c>
      <c r="E159" s="60" t="s">
        <v>25</v>
      </c>
      <c r="F159" s="60" t="s">
        <v>19</v>
      </c>
      <c r="G159" s="60" t="s">
        <v>44</v>
      </c>
      <c r="H159" s="60" t="s">
        <v>20</v>
      </c>
      <c r="I159" s="60" t="s">
        <v>25</v>
      </c>
      <c r="J159" s="60" t="s">
        <v>19</v>
      </c>
      <c r="K159" s="60" t="s">
        <v>19</v>
      </c>
      <c r="L159" s="60" t="s">
        <v>21</v>
      </c>
      <c r="M159" s="60" t="s">
        <v>19</v>
      </c>
      <c r="N159" s="60" t="s">
        <v>19</v>
      </c>
      <c r="O159" s="60" t="s">
        <v>19</v>
      </c>
      <c r="P159" s="60" t="s">
        <v>19</v>
      </c>
      <c r="Q159" s="60" t="s">
        <v>19</v>
      </c>
      <c r="R159" s="166"/>
      <c r="S159" s="62" t="s">
        <v>0</v>
      </c>
      <c r="T159" s="1" t="e">
        <f>#REF!+#REF!+#REF!+#REF!</f>
        <v>#REF!</v>
      </c>
      <c r="U159" s="1" t="e">
        <f>#REF!+#REF!+#REF!+#REF!</f>
        <v>#REF!</v>
      </c>
      <c r="V159" s="1" t="e">
        <f>#REF!+#REF!+#REF!+#REF!</f>
        <v>#REF!</v>
      </c>
      <c r="W159" s="1" t="e">
        <f>#REF!+#REF!+#REF!+#REF!</f>
        <v>#REF!</v>
      </c>
      <c r="X159" s="1" t="e">
        <f>#REF!+#REF!+#REF!+#REF!</f>
        <v>#REF!</v>
      </c>
      <c r="Y159" s="1" t="e">
        <f>#REF!+#REF!+#REF!+#REF!</f>
        <v>#REF!</v>
      </c>
      <c r="Z159" s="66" t="e">
        <f>T159+U159+V159+W159+X159+Y159</f>
        <v>#REF!</v>
      </c>
      <c r="AA159" s="65">
        <v>2023</v>
      </c>
      <c r="AB159" s="113"/>
    </row>
    <row r="160" spans="1:30" s="83" customFormat="1" ht="78.75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85" t="s">
        <v>205</v>
      </c>
      <c r="S160" s="69" t="s">
        <v>56</v>
      </c>
      <c r="T160" s="3">
        <f>T167+T174+T181+T188+T195</f>
        <v>58.6</v>
      </c>
      <c r="U160" s="3">
        <f t="shared" ref="U160:Y160" si="35">U167+U174+U181+U188+U195</f>
        <v>37.199999999999996</v>
      </c>
      <c r="V160" s="3">
        <f t="shared" si="35"/>
        <v>15.1</v>
      </c>
      <c r="W160" s="3">
        <f t="shared" si="35"/>
        <v>15.1</v>
      </c>
      <c r="X160" s="3">
        <f t="shared" si="35"/>
        <v>15.1</v>
      </c>
      <c r="Y160" s="3">
        <f t="shared" si="35"/>
        <v>15.1</v>
      </c>
      <c r="Z160" s="6">
        <f t="shared" si="33"/>
        <v>156.19999999999999</v>
      </c>
      <c r="AA160" s="44">
        <v>2023</v>
      </c>
      <c r="AB160" s="113"/>
    </row>
    <row r="161" spans="1:29" s="83" customFormat="1" ht="31.15" hidden="1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86" t="s">
        <v>55</v>
      </c>
      <c r="S161" s="69"/>
      <c r="T161" s="3">
        <f t="shared" ref="T161:Y161" si="36">T168+T175+T182+T189+T196</f>
        <v>28</v>
      </c>
      <c r="U161" s="3">
        <f t="shared" si="36"/>
        <v>20</v>
      </c>
      <c r="V161" s="3">
        <f t="shared" si="36"/>
        <v>11</v>
      </c>
      <c r="W161" s="3">
        <f t="shared" si="36"/>
        <v>11</v>
      </c>
      <c r="X161" s="3">
        <f t="shared" si="36"/>
        <v>11</v>
      </c>
      <c r="Y161" s="3">
        <f t="shared" si="36"/>
        <v>11</v>
      </c>
      <c r="Z161" s="6"/>
      <c r="AA161" s="44"/>
      <c r="AB161" s="113"/>
    </row>
    <row r="162" spans="1:29" s="83" customFormat="1" ht="52.1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87" t="s">
        <v>206</v>
      </c>
      <c r="S162" s="69" t="s">
        <v>39</v>
      </c>
      <c r="T162" s="47">
        <f>T168+T175+T182+T189+T196</f>
        <v>28</v>
      </c>
      <c r="U162" s="47">
        <f t="shared" ref="U162:Y162" si="37">U168+U175+U182+U189+U196</f>
        <v>20</v>
      </c>
      <c r="V162" s="47">
        <f t="shared" si="37"/>
        <v>11</v>
      </c>
      <c r="W162" s="47">
        <f t="shared" si="37"/>
        <v>11</v>
      </c>
      <c r="X162" s="47">
        <f t="shared" si="37"/>
        <v>11</v>
      </c>
      <c r="Y162" s="47">
        <f t="shared" si="37"/>
        <v>11</v>
      </c>
      <c r="Z162" s="55">
        <f>T162+U162+V162+W162+X162+Y162</f>
        <v>92</v>
      </c>
      <c r="AA162" s="44">
        <v>2023</v>
      </c>
      <c r="AB162" s="113"/>
      <c r="AC162" s="88"/>
    </row>
    <row r="163" spans="1:29" s="83" customFormat="1" ht="21.6" customHeight="1" x14ac:dyDescent="0.25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164" t="s">
        <v>147</v>
      </c>
      <c r="S163" s="62" t="s">
        <v>0</v>
      </c>
      <c r="T163" s="66">
        <f>SUM(T165:T166)</f>
        <v>0</v>
      </c>
      <c r="U163" s="66">
        <f>SUM(U164:U166)</f>
        <v>21449.4</v>
      </c>
      <c r="V163" s="66">
        <f t="shared" ref="V163:Y163" si="38">SUM(V164:V166)</f>
        <v>1700</v>
      </c>
      <c r="W163" s="66">
        <f t="shared" si="38"/>
        <v>1700</v>
      </c>
      <c r="X163" s="66">
        <f t="shared" si="38"/>
        <v>1700</v>
      </c>
      <c r="Y163" s="66">
        <f t="shared" si="38"/>
        <v>1700</v>
      </c>
      <c r="Z163" s="66">
        <f>SUM(T163:Y163)</f>
        <v>28249.4</v>
      </c>
      <c r="AA163" s="65">
        <v>2024</v>
      </c>
      <c r="AB163" s="113"/>
      <c r="AC163" s="88"/>
    </row>
    <row r="164" spans="1:29" s="83" customFormat="1" x14ac:dyDescent="0.25">
      <c r="A164" s="60" t="s">
        <v>19</v>
      </c>
      <c r="B164" s="60" t="s">
        <v>19</v>
      </c>
      <c r="C164" s="60" t="s">
        <v>23</v>
      </c>
      <c r="D164" s="60" t="s">
        <v>19</v>
      </c>
      <c r="E164" s="60" t="s">
        <v>25</v>
      </c>
      <c r="F164" s="60" t="s">
        <v>19</v>
      </c>
      <c r="G164" s="60" t="s">
        <v>44</v>
      </c>
      <c r="H164" s="60" t="s">
        <v>20</v>
      </c>
      <c r="I164" s="60" t="s">
        <v>25</v>
      </c>
      <c r="J164" s="60" t="s">
        <v>19</v>
      </c>
      <c r="K164" s="60" t="s">
        <v>19</v>
      </c>
      <c r="L164" s="60" t="s">
        <v>21</v>
      </c>
      <c r="M164" s="60" t="s">
        <v>20</v>
      </c>
      <c r="N164" s="60" t="s">
        <v>19</v>
      </c>
      <c r="O164" s="60" t="s">
        <v>195</v>
      </c>
      <c r="P164" s="60" t="s">
        <v>22</v>
      </c>
      <c r="Q164" s="60" t="s">
        <v>26</v>
      </c>
      <c r="R164" s="165"/>
      <c r="S164" s="62" t="s">
        <v>0</v>
      </c>
      <c r="T164" s="1">
        <v>0</v>
      </c>
      <c r="U164" s="1">
        <v>16800.099999999999</v>
      </c>
      <c r="V164" s="1">
        <v>0</v>
      </c>
      <c r="W164" s="1">
        <v>0</v>
      </c>
      <c r="X164" s="1">
        <v>0</v>
      </c>
      <c r="Y164" s="1">
        <v>0</v>
      </c>
      <c r="Z164" s="66">
        <f t="shared" ref="Z164:Z196" si="39">SUM(T164:Y164)</f>
        <v>16800.099999999999</v>
      </c>
      <c r="AA164" s="65">
        <v>2024</v>
      </c>
      <c r="AB164" s="113"/>
      <c r="AC164" s="88"/>
    </row>
    <row r="165" spans="1:29" s="83" customFormat="1" x14ac:dyDescent="0.25">
      <c r="A165" s="60" t="s">
        <v>19</v>
      </c>
      <c r="B165" s="60" t="s">
        <v>19</v>
      </c>
      <c r="C165" s="60" t="s">
        <v>23</v>
      </c>
      <c r="D165" s="60" t="s">
        <v>19</v>
      </c>
      <c r="E165" s="60" t="s">
        <v>25</v>
      </c>
      <c r="F165" s="60" t="s">
        <v>19</v>
      </c>
      <c r="G165" s="60" t="s">
        <v>44</v>
      </c>
      <c r="H165" s="60" t="s">
        <v>20</v>
      </c>
      <c r="I165" s="60" t="s">
        <v>25</v>
      </c>
      <c r="J165" s="60" t="s">
        <v>19</v>
      </c>
      <c r="K165" s="60" t="s">
        <v>19</v>
      </c>
      <c r="L165" s="60" t="s">
        <v>21</v>
      </c>
      <c r="M165" s="60" t="s">
        <v>38</v>
      </c>
      <c r="N165" s="60" t="s">
        <v>19</v>
      </c>
      <c r="O165" s="60" t="s">
        <v>195</v>
      </c>
      <c r="P165" s="60" t="s">
        <v>22</v>
      </c>
      <c r="Q165" s="60" t="s">
        <v>26</v>
      </c>
      <c r="R165" s="165"/>
      <c r="S165" s="62" t="s">
        <v>0</v>
      </c>
      <c r="T165" s="1">
        <v>0</v>
      </c>
      <c r="U165" s="1">
        <v>4199.8999999999996</v>
      </c>
      <c r="V165" s="1">
        <v>1535.7</v>
      </c>
      <c r="W165" s="1">
        <v>1535.7</v>
      </c>
      <c r="X165" s="1">
        <v>1535.7</v>
      </c>
      <c r="Y165" s="1">
        <v>1535.7</v>
      </c>
      <c r="Z165" s="66">
        <f t="shared" si="39"/>
        <v>10342.700000000001</v>
      </c>
      <c r="AA165" s="65">
        <v>2024</v>
      </c>
      <c r="AB165" s="113"/>
      <c r="AC165" s="88"/>
    </row>
    <row r="166" spans="1:29" s="83" customFormat="1" x14ac:dyDescent="0.25">
      <c r="A166" s="60" t="s">
        <v>19</v>
      </c>
      <c r="B166" s="60" t="s">
        <v>19</v>
      </c>
      <c r="C166" s="60" t="s">
        <v>23</v>
      </c>
      <c r="D166" s="60" t="s">
        <v>19</v>
      </c>
      <c r="E166" s="60" t="s">
        <v>25</v>
      </c>
      <c r="F166" s="60" t="s">
        <v>19</v>
      </c>
      <c r="G166" s="60" t="s">
        <v>44</v>
      </c>
      <c r="H166" s="60" t="s">
        <v>20</v>
      </c>
      <c r="I166" s="60" t="s">
        <v>25</v>
      </c>
      <c r="J166" s="60" t="s">
        <v>19</v>
      </c>
      <c r="K166" s="60" t="s">
        <v>19</v>
      </c>
      <c r="L166" s="60" t="s">
        <v>21</v>
      </c>
      <c r="M166" s="60" t="s">
        <v>19</v>
      </c>
      <c r="N166" s="60" t="s">
        <v>19</v>
      </c>
      <c r="O166" s="60" t="s">
        <v>19</v>
      </c>
      <c r="P166" s="60" t="s">
        <v>19</v>
      </c>
      <c r="Q166" s="60" t="s">
        <v>19</v>
      </c>
      <c r="R166" s="166"/>
      <c r="S166" s="62" t="s">
        <v>0</v>
      </c>
      <c r="T166" s="1">
        <v>0</v>
      </c>
      <c r="U166" s="1">
        <v>449.4</v>
      </c>
      <c r="V166" s="1">
        <v>164.3</v>
      </c>
      <c r="W166" s="1">
        <v>164.3</v>
      </c>
      <c r="X166" s="1">
        <v>164.3</v>
      </c>
      <c r="Y166" s="1">
        <v>164.3</v>
      </c>
      <c r="Z166" s="66">
        <f t="shared" si="39"/>
        <v>1106.5999999999999</v>
      </c>
      <c r="AA166" s="65">
        <v>2024</v>
      </c>
      <c r="AB166" s="113"/>
      <c r="AC166" s="88"/>
    </row>
    <row r="167" spans="1:29" s="83" customFormat="1" ht="78.75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85" t="s">
        <v>337</v>
      </c>
      <c r="S167" s="69" t="s">
        <v>43</v>
      </c>
      <c r="T167" s="3">
        <v>0</v>
      </c>
      <c r="U167" s="3">
        <v>10.7</v>
      </c>
      <c r="V167" s="3">
        <v>4.3</v>
      </c>
      <c r="W167" s="3">
        <v>4.3</v>
      </c>
      <c r="X167" s="3">
        <v>4.3</v>
      </c>
      <c r="Y167" s="3">
        <v>4.3</v>
      </c>
      <c r="Z167" s="6">
        <f t="shared" si="39"/>
        <v>27.900000000000002</v>
      </c>
      <c r="AA167" s="44">
        <v>2024</v>
      </c>
      <c r="AB167" s="113"/>
    </row>
    <row r="168" spans="1:29" s="83" customFormat="1" ht="47.25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87" t="s">
        <v>338</v>
      </c>
      <c r="S168" s="69" t="s">
        <v>39</v>
      </c>
      <c r="T168" s="47">
        <v>0</v>
      </c>
      <c r="U168" s="47">
        <v>8</v>
      </c>
      <c r="V168" s="47">
        <v>4</v>
      </c>
      <c r="W168" s="47">
        <v>4</v>
      </c>
      <c r="X168" s="47">
        <v>4</v>
      </c>
      <c r="Y168" s="47">
        <v>4</v>
      </c>
      <c r="Z168" s="55">
        <f t="shared" si="39"/>
        <v>24</v>
      </c>
      <c r="AA168" s="44">
        <v>2024</v>
      </c>
      <c r="AB168" s="113"/>
      <c r="AC168" s="88"/>
    </row>
    <row r="169" spans="1:29" s="150" customFormat="1" ht="63.6" hidden="1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106" t="s">
        <v>333</v>
      </c>
      <c r="S169" s="58" t="s">
        <v>39</v>
      </c>
      <c r="T169" s="47">
        <v>0</v>
      </c>
      <c r="U169" s="47">
        <v>8</v>
      </c>
      <c r="V169" s="47">
        <v>0</v>
      </c>
      <c r="W169" s="47">
        <v>0</v>
      </c>
      <c r="X169" s="47">
        <v>0</v>
      </c>
      <c r="Y169" s="47">
        <v>0</v>
      </c>
      <c r="Z169" s="55">
        <f t="shared" si="39"/>
        <v>8</v>
      </c>
      <c r="AA169" s="44">
        <v>2019</v>
      </c>
      <c r="AB169" s="121"/>
      <c r="AC169" s="149"/>
    </row>
    <row r="170" spans="1:29" s="83" customFormat="1" ht="20.45" customHeight="1" x14ac:dyDescent="0.25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164" t="s">
        <v>147</v>
      </c>
      <c r="S170" s="62" t="s">
        <v>0</v>
      </c>
      <c r="T170" s="66">
        <f>T172+T173</f>
        <v>0</v>
      </c>
      <c r="U170" s="66">
        <f>SUM(U171:U173)</f>
        <v>18385.2</v>
      </c>
      <c r="V170" s="66">
        <f t="shared" ref="V170:Y170" si="40">SUM(V171:V173)</f>
        <v>1500</v>
      </c>
      <c r="W170" s="66">
        <f t="shared" si="40"/>
        <v>1500</v>
      </c>
      <c r="X170" s="66">
        <f t="shared" si="40"/>
        <v>1500</v>
      </c>
      <c r="Y170" s="66">
        <f t="shared" si="40"/>
        <v>1500</v>
      </c>
      <c r="Z170" s="66">
        <f t="shared" si="39"/>
        <v>24385.200000000001</v>
      </c>
      <c r="AA170" s="65">
        <v>2024</v>
      </c>
      <c r="AB170" s="113"/>
    </row>
    <row r="171" spans="1:29" s="83" customFormat="1" x14ac:dyDescent="0.25">
      <c r="A171" s="60" t="s">
        <v>19</v>
      </c>
      <c r="B171" s="60" t="s">
        <v>19</v>
      </c>
      <c r="C171" s="60" t="s">
        <v>25</v>
      </c>
      <c r="D171" s="60" t="s">
        <v>19</v>
      </c>
      <c r="E171" s="60" t="s">
        <v>25</v>
      </c>
      <c r="F171" s="60" t="s">
        <v>19</v>
      </c>
      <c r="G171" s="60" t="s">
        <v>44</v>
      </c>
      <c r="H171" s="60" t="s">
        <v>20</v>
      </c>
      <c r="I171" s="60" t="s">
        <v>25</v>
      </c>
      <c r="J171" s="60" t="s">
        <v>19</v>
      </c>
      <c r="K171" s="60" t="s">
        <v>19</v>
      </c>
      <c r="L171" s="60" t="s">
        <v>21</v>
      </c>
      <c r="M171" s="60" t="s">
        <v>20</v>
      </c>
      <c r="N171" s="60" t="s">
        <v>19</v>
      </c>
      <c r="O171" s="60" t="s">
        <v>195</v>
      </c>
      <c r="P171" s="60" t="s">
        <v>22</v>
      </c>
      <c r="Q171" s="60" t="s">
        <v>26</v>
      </c>
      <c r="R171" s="165"/>
      <c r="S171" s="62" t="s">
        <v>0</v>
      </c>
      <c r="T171" s="1">
        <f>T173+T174</f>
        <v>0</v>
      </c>
      <c r="U171" s="1">
        <v>14400.1</v>
      </c>
      <c r="V171" s="1">
        <v>0</v>
      </c>
      <c r="W171" s="1">
        <v>0</v>
      </c>
      <c r="X171" s="1">
        <v>0</v>
      </c>
      <c r="Y171" s="1">
        <v>0</v>
      </c>
      <c r="Z171" s="66">
        <f t="shared" si="39"/>
        <v>14400.1</v>
      </c>
      <c r="AA171" s="65">
        <v>2024</v>
      </c>
      <c r="AB171" s="113"/>
    </row>
    <row r="172" spans="1:29" s="83" customFormat="1" x14ac:dyDescent="0.25">
      <c r="A172" s="60" t="s">
        <v>19</v>
      </c>
      <c r="B172" s="60" t="s">
        <v>19</v>
      </c>
      <c r="C172" s="60" t="s">
        <v>25</v>
      </c>
      <c r="D172" s="60" t="s">
        <v>19</v>
      </c>
      <c r="E172" s="60" t="s">
        <v>25</v>
      </c>
      <c r="F172" s="60" t="s">
        <v>19</v>
      </c>
      <c r="G172" s="60" t="s">
        <v>44</v>
      </c>
      <c r="H172" s="60" t="s">
        <v>20</v>
      </c>
      <c r="I172" s="60" t="s">
        <v>25</v>
      </c>
      <c r="J172" s="60" t="s">
        <v>19</v>
      </c>
      <c r="K172" s="60" t="s">
        <v>19</v>
      </c>
      <c r="L172" s="60" t="s">
        <v>21</v>
      </c>
      <c r="M172" s="60" t="s">
        <v>38</v>
      </c>
      <c r="N172" s="60" t="s">
        <v>19</v>
      </c>
      <c r="O172" s="60" t="s">
        <v>195</v>
      </c>
      <c r="P172" s="60" t="s">
        <v>22</v>
      </c>
      <c r="Q172" s="60" t="s">
        <v>26</v>
      </c>
      <c r="R172" s="165"/>
      <c r="S172" s="62" t="s">
        <v>0</v>
      </c>
      <c r="T172" s="1">
        <v>0</v>
      </c>
      <c r="U172" s="1">
        <v>3599.9</v>
      </c>
      <c r="V172" s="1">
        <v>1355</v>
      </c>
      <c r="W172" s="1">
        <v>1355</v>
      </c>
      <c r="X172" s="1">
        <v>1355</v>
      </c>
      <c r="Y172" s="1">
        <v>1355</v>
      </c>
      <c r="Z172" s="66">
        <f t="shared" si="39"/>
        <v>9019.9</v>
      </c>
      <c r="AA172" s="65">
        <v>2024</v>
      </c>
      <c r="AB172" s="113"/>
    </row>
    <row r="173" spans="1:29" s="83" customFormat="1" x14ac:dyDescent="0.25">
      <c r="A173" s="60" t="s">
        <v>19</v>
      </c>
      <c r="B173" s="60" t="s">
        <v>19</v>
      </c>
      <c r="C173" s="60" t="s">
        <v>25</v>
      </c>
      <c r="D173" s="60" t="s">
        <v>19</v>
      </c>
      <c r="E173" s="60" t="s">
        <v>25</v>
      </c>
      <c r="F173" s="60" t="s">
        <v>19</v>
      </c>
      <c r="G173" s="60" t="s">
        <v>44</v>
      </c>
      <c r="H173" s="60" t="s">
        <v>20</v>
      </c>
      <c r="I173" s="60" t="s">
        <v>25</v>
      </c>
      <c r="J173" s="60" t="s">
        <v>19</v>
      </c>
      <c r="K173" s="60" t="s">
        <v>19</v>
      </c>
      <c r="L173" s="60" t="s">
        <v>21</v>
      </c>
      <c r="M173" s="60" t="s">
        <v>19</v>
      </c>
      <c r="N173" s="60" t="s">
        <v>19</v>
      </c>
      <c r="O173" s="60" t="s">
        <v>19</v>
      </c>
      <c r="P173" s="60" t="s">
        <v>19</v>
      </c>
      <c r="Q173" s="60" t="s">
        <v>19</v>
      </c>
      <c r="R173" s="166"/>
      <c r="S173" s="62" t="s">
        <v>0</v>
      </c>
      <c r="T173" s="1">
        <v>0</v>
      </c>
      <c r="U173" s="1">
        <v>385.2</v>
      </c>
      <c r="V173" s="1">
        <v>145</v>
      </c>
      <c r="W173" s="1">
        <v>145</v>
      </c>
      <c r="X173" s="1">
        <v>145</v>
      </c>
      <c r="Y173" s="1">
        <v>145</v>
      </c>
      <c r="Z173" s="66">
        <f t="shared" si="39"/>
        <v>965.2</v>
      </c>
      <c r="AA173" s="65">
        <v>2024</v>
      </c>
      <c r="AB173" s="113"/>
    </row>
    <row r="174" spans="1:29" s="83" customFormat="1" ht="78.75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85" t="s">
        <v>339</v>
      </c>
      <c r="S174" s="69" t="s">
        <v>56</v>
      </c>
      <c r="T174" s="3">
        <v>0</v>
      </c>
      <c r="U174" s="3">
        <v>10.6</v>
      </c>
      <c r="V174" s="3">
        <v>3.5</v>
      </c>
      <c r="W174" s="3">
        <v>3.5</v>
      </c>
      <c r="X174" s="3">
        <v>3.5</v>
      </c>
      <c r="Y174" s="3">
        <v>3.5</v>
      </c>
      <c r="Z174" s="6">
        <f t="shared" si="39"/>
        <v>24.6</v>
      </c>
      <c r="AA174" s="44">
        <v>2024</v>
      </c>
      <c r="AB174" s="113"/>
    </row>
    <row r="175" spans="1:29" s="83" customFormat="1" ht="47.25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87" t="s">
        <v>340</v>
      </c>
      <c r="S175" s="69" t="s">
        <v>39</v>
      </c>
      <c r="T175" s="47">
        <v>0</v>
      </c>
      <c r="U175" s="47">
        <v>4</v>
      </c>
      <c r="V175" s="47">
        <v>2</v>
      </c>
      <c r="W175" s="47">
        <v>2</v>
      </c>
      <c r="X175" s="47">
        <v>2</v>
      </c>
      <c r="Y175" s="47">
        <v>2</v>
      </c>
      <c r="Z175" s="55">
        <f t="shared" si="39"/>
        <v>12</v>
      </c>
      <c r="AA175" s="44">
        <v>2024</v>
      </c>
      <c r="AB175" s="113"/>
      <c r="AC175" s="88"/>
    </row>
    <row r="176" spans="1:29" s="150" customFormat="1" ht="64.150000000000006" hidden="1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106" t="s">
        <v>334</v>
      </c>
      <c r="S176" s="58" t="s">
        <v>39</v>
      </c>
      <c r="T176" s="47">
        <v>0</v>
      </c>
      <c r="U176" s="47">
        <v>4</v>
      </c>
      <c r="V176" s="47">
        <v>0</v>
      </c>
      <c r="W176" s="47">
        <v>0</v>
      </c>
      <c r="X176" s="47">
        <v>0</v>
      </c>
      <c r="Y176" s="47">
        <v>0</v>
      </c>
      <c r="Z176" s="55">
        <f t="shared" si="39"/>
        <v>4</v>
      </c>
      <c r="AA176" s="44">
        <v>2019</v>
      </c>
      <c r="AB176" s="121"/>
      <c r="AC176" s="149"/>
    </row>
    <row r="177" spans="1:29" s="83" customFormat="1" x14ac:dyDescent="0.25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164" t="s">
        <v>147</v>
      </c>
      <c r="S177" s="62" t="s">
        <v>0</v>
      </c>
      <c r="T177" s="66">
        <f>T179+T180</f>
        <v>0</v>
      </c>
      <c r="U177" s="66">
        <f>SUM(U178:U180)</f>
        <v>21449.4</v>
      </c>
      <c r="V177" s="66">
        <f t="shared" ref="V177:Y177" si="41">SUM(V178:V180)</f>
        <v>1500</v>
      </c>
      <c r="W177" s="66">
        <f t="shared" si="41"/>
        <v>1500</v>
      </c>
      <c r="X177" s="66">
        <f t="shared" si="41"/>
        <v>1500</v>
      </c>
      <c r="Y177" s="66">
        <f t="shared" si="41"/>
        <v>1500</v>
      </c>
      <c r="Z177" s="66">
        <f t="shared" si="39"/>
        <v>27449.4</v>
      </c>
      <c r="AA177" s="65">
        <v>2024</v>
      </c>
      <c r="AB177" s="113"/>
    </row>
    <row r="178" spans="1:29" s="83" customFormat="1" x14ac:dyDescent="0.25">
      <c r="A178" s="60" t="s">
        <v>19</v>
      </c>
      <c r="B178" s="60" t="s">
        <v>19</v>
      </c>
      <c r="C178" s="60" t="s">
        <v>22</v>
      </c>
      <c r="D178" s="60" t="s">
        <v>19</v>
      </c>
      <c r="E178" s="60" t="s">
        <v>25</v>
      </c>
      <c r="F178" s="60" t="s">
        <v>19</v>
      </c>
      <c r="G178" s="60" t="s">
        <v>44</v>
      </c>
      <c r="H178" s="60" t="s">
        <v>20</v>
      </c>
      <c r="I178" s="60" t="s">
        <v>25</v>
      </c>
      <c r="J178" s="60" t="s">
        <v>19</v>
      </c>
      <c r="K178" s="60" t="s">
        <v>19</v>
      </c>
      <c r="L178" s="60" t="s">
        <v>21</v>
      </c>
      <c r="M178" s="60" t="s">
        <v>20</v>
      </c>
      <c r="N178" s="60" t="s">
        <v>19</v>
      </c>
      <c r="O178" s="60" t="s">
        <v>195</v>
      </c>
      <c r="P178" s="60" t="s">
        <v>22</v>
      </c>
      <c r="Q178" s="60" t="s">
        <v>26</v>
      </c>
      <c r="R178" s="165"/>
      <c r="S178" s="62" t="s">
        <v>0</v>
      </c>
      <c r="T178" s="1">
        <v>0</v>
      </c>
      <c r="U178" s="1">
        <v>16800.099999999999</v>
      </c>
      <c r="V178" s="1">
        <v>0</v>
      </c>
      <c r="W178" s="1">
        <v>0</v>
      </c>
      <c r="X178" s="1">
        <v>0</v>
      </c>
      <c r="Y178" s="1">
        <v>0</v>
      </c>
      <c r="Z178" s="66">
        <f t="shared" si="39"/>
        <v>16800.099999999999</v>
      </c>
      <c r="AA178" s="65">
        <v>2024</v>
      </c>
      <c r="AB178" s="113"/>
    </row>
    <row r="179" spans="1:29" s="83" customFormat="1" x14ac:dyDescent="0.25">
      <c r="A179" s="60" t="s">
        <v>19</v>
      </c>
      <c r="B179" s="60" t="s">
        <v>19</v>
      </c>
      <c r="C179" s="60" t="s">
        <v>22</v>
      </c>
      <c r="D179" s="60" t="s">
        <v>19</v>
      </c>
      <c r="E179" s="60" t="s">
        <v>25</v>
      </c>
      <c r="F179" s="60" t="s">
        <v>19</v>
      </c>
      <c r="G179" s="60" t="s">
        <v>44</v>
      </c>
      <c r="H179" s="60" t="s">
        <v>20</v>
      </c>
      <c r="I179" s="60" t="s">
        <v>25</v>
      </c>
      <c r="J179" s="60" t="s">
        <v>19</v>
      </c>
      <c r="K179" s="60" t="s">
        <v>19</v>
      </c>
      <c r="L179" s="60" t="s">
        <v>21</v>
      </c>
      <c r="M179" s="60" t="s">
        <v>38</v>
      </c>
      <c r="N179" s="60" t="s">
        <v>19</v>
      </c>
      <c r="O179" s="60" t="s">
        <v>195</v>
      </c>
      <c r="P179" s="60" t="s">
        <v>22</v>
      </c>
      <c r="Q179" s="60" t="s">
        <v>26</v>
      </c>
      <c r="R179" s="165"/>
      <c r="S179" s="62" t="s">
        <v>0</v>
      </c>
      <c r="T179" s="1">
        <v>0</v>
      </c>
      <c r="U179" s="1">
        <v>4199.8999999999996</v>
      </c>
      <c r="V179" s="1">
        <v>1355</v>
      </c>
      <c r="W179" s="1">
        <v>1355</v>
      </c>
      <c r="X179" s="1">
        <v>1355</v>
      </c>
      <c r="Y179" s="1">
        <v>1355</v>
      </c>
      <c r="Z179" s="66">
        <f t="shared" si="39"/>
        <v>9619.9</v>
      </c>
      <c r="AA179" s="65">
        <v>2024</v>
      </c>
      <c r="AB179" s="113"/>
    </row>
    <row r="180" spans="1:29" s="83" customFormat="1" ht="18.600000000000001" customHeight="1" x14ac:dyDescent="0.25">
      <c r="A180" s="60" t="s">
        <v>19</v>
      </c>
      <c r="B180" s="60" t="s">
        <v>19</v>
      </c>
      <c r="C180" s="60" t="s">
        <v>22</v>
      </c>
      <c r="D180" s="60" t="s">
        <v>19</v>
      </c>
      <c r="E180" s="60" t="s">
        <v>25</v>
      </c>
      <c r="F180" s="60" t="s">
        <v>19</v>
      </c>
      <c r="G180" s="60" t="s">
        <v>44</v>
      </c>
      <c r="H180" s="60" t="s">
        <v>20</v>
      </c>
      <c r="I180" s="60" t="s">
        <v>25</v>
      </c>
      <c r="J180" s="60" t="s">
        <v>19</v>
      </c>
      <c r="K180" s="60" t="s">
        <v>19</v>
      </c>
      <c r="L180" s="60" t="s">
        <v>21</v>
      </c>
      <c r="M180" s="60" t="s">
        <v>19</v>
      </c>
      <c r="N180" s="60" t="s">
        <v>19</v>
      </c>
      <c r="O180" s="60" t="s">
        <v>19</v>
      </c>
      <c r="P180" s="60" t="s">
        <v>19</v>
      </c>
      <c r="Q180" s="60" t="s">
        <v>19</v>
      </c>
      <c r="R180" s="166"/>
      <c r="S180" s="62" t="s">
        <v>0</v>
      </c>
      <c r="T180" s="1">
        <v>0</v>
      </c>
      <c r="U180" s="1">
        <v>449.4</v>
      </c>
      <c r="V180" s="1">
        <v>145</v>
      </c>
      <c r="W180" s="1">
        <v>145</v>
      </c>
      <c r="X180" s="1">
        <v>145</v>
      </c>
      <c r="Y180" s="1">
        <v>145</v>
      </c>
      <c r="Z180" s="66">
        <f t="shared" si="39"/>
        <v>1029.4000000000001</v>
      </c>
      <c r="AA180" s="65">
        <v>2024</v>
      </c>
      <c r="AB180" s="113"/>
    </row>
    <row r="181" spans="1:29" s="83" customFormat="1" ht="78.75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85" t="s">
        <v>341</v>
      </c>
      <c r="S181" s="69" t="s">
        <v>56</v>
      </c>
      <c r="T181" s="47">
        <v>0</v>
      </c>
      <c r="U181" s="3">
        <v>11.8</v>
      </c>
      <c r="V181" s="3">
        <v>4.2</v>
      </c>
      <c r="W181" s="3">
        <v>4.2</v>
      </c>
      <c r="X181" s="3">
        <v>4.2</v>
      </c>
      <c r="Y181" s="3">
        <v>4.2</v>
      </c>
      <c r="Z181" s="55">
        <f t="shared" si="39"/>
        <v>28.599999999999998</v>
      </c>
      <c r="AA181" s="44">
        <v>2024</v>
      </c>
      <c r="AB181" s="113"/>
    </row>
    <row r="182" spans="1:29" s="83" customFormat="1" ht="47.25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87" t="s">
        <v>342</v>
      </c>
      <c r="S182" s="69" t="s">
        <v>39</v>
      </c>
      <c r="T182" s="47">
        <v>0</v>
      </c>
      <c r="U182" s="47">
        <v>3</v>
      </c>
      <c r="V182" s="47">
        <v>1</v>
      </c>
      <c r="W182" s="47">
        <v>1</v>
      </c>
      <c r="X182" s="47">
        <v>1</v>
      </c>
      <c r="Y182" s="47">
        <v>1</v>
      </c>
      <c r="Z182" s="55">
        <f t="shared" si="39"/>
        <v>7</v>
      </c>
      <c r="AA182" s="44">
        <v>2024</v>
      </c>
      <c r="AB182" s="113"/>
      <c r="AC182" s="88"/>
    </row>
    <row r="183" spans="1:29" s="150" customFormat="1" ht="65.45" hidden="1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106" t="s">
        <v>335</v>
      </c>
      <c r="S183" s="58" t="s">
        <v>39</v>
      </c>
      <c r="T183" s="47">
        <v>0</v>
      </c>
      <c r="U183" s="47">
        <v>3</v>
      </c>
      <c r="V183" s="47">
        <v>0</v>
      </c>
      <c r="W183" s="47">
        <v>0</v>
      </c>
      <c r="X183" s="47">
        <v>0</v>
      </c>
      <c r="Y183" s="47">
        <v>0</v>
      </c>
      <c r="Z183" s="55">
        <f t="shared" si="39"/>
        <v>3</v>
      </c>
      <c r="AA183" s="44">
        <v>2019</v>
      </c>
      <c r="AB183" s="121"/>
      <c r="AC183" s="149"/>
    </row>
    <row r="184" spans="1:29" s="83" customFormat="1" ht="19.899999999999999" customHeight="1" x14ac:dyDescent="0.25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164" t="s">
        <v>147</v>
      </c>
      <c r="S184" s="62" t="s">
        <v>0</v>
      </c>
      <c r="T184" s="66">
        <f>T186+T187</f>
        <v>0</v>
      </c>
      <c r="U184" s="66">
        <f>SUM(U185:U187)</f>
        <v>12257.9</v>
      </c>
      <c r="V184" s="66">
        <f t="shared" ref="V184:Y184" si="42">SUM(V185:V187)</f>
        <v>1500</v>
      </c>
      <c r="W184" s="66">
        <f t="shared" si="42"/>
        <v>1500</v>
      </c>
      <c r="X184" s="66">
        <f t="shared" si="42"/>
        <v>1500</v>
      </c>
      <c r="Y184" s="66">
        <f t="shared" si="42"/>
        <v>1500</v>
      </c>
      <c r="Z184" s="66">
        <f t="shared" si="39"/>
        <v>18257.900000000001</v>
      </c>
      <c r="AA184" s="65">
        <v>2024</v>
      </c>
      <c r="AB184" s="113"/>
    </row>
    <row r="185" spans="1:29" s="83" customFormat="1" x14ac:dyDescent="0.25">
      <c r="A185" s="60" t="s">
        <v>19</v>
      </c>
      <c r="B185" s="60" t="s">
        <v>19</v>
      </c>
      <c r="C185" s="60" t="s">
        <v>26</v>
      </c>
      <c r="D185" s="60" t="s">
        <v>19</v>
      </c>
      <c r="E185" s="60" t="s">
        <v>25</v>
      </c>
      <c r="F185" s="60" t="s">
        <v>19</v>
      </c>
      <c r="G185" s="60" t="s">
        <v>44</v>
      </c>
      <c r="H185" s="60" t="s">
        <v>20</v>
      </c>
      <c r="I185" s="60" t="s">
        <v>25</v>
      </c>
      <c r="J185" s="60" t="s">
        <v>19</v>
      </c>
      <c r="K185" s="60" t="s">
        <v>19</v>
      </c>
      <c r="L185" s="60" t="s">
        <v>21</v>
      </c>
      <c r="M185" s="60" t="s">
        <v>20</v>
      </c>
      <c r="N185" s="60" t="s">
        <v>19</v>
      </c>
      <c r="O185" s="60" t="s">
        <v>195</v>
      </c>
      <c r="P185" s="60" t="s">
        <v>22</v>
      </c>
      <c r="Q185" s="60" t="s">
        <v>26</v>
      </c>
      <c r="R185" s="165"/>
      <c r="S185" s="62" t="s">
        <v>0</v>
      </c>
      <c r="T185" s="1">
        <v>0</v>
      </c>
      <c r="U185" s="1">
        <v>9600</v>
      </c>
      <c r="V185" s="1">
        <v>0</v>
      </c>
      <c r="W185" s="1">
        <v>0</v>
      </c>
      <c r="X185" s="1">
        <v>0</v>
      </c>
      <c r="Y185" s="1">
        <v>0</v>
      </c>
      <c r="Z185" s="66">
        <f t="shared" si="39"/>
        <v>9600</v>
      </c>
      <c r="AA185" s="65">
        <v>2024</v>
      </c>
      <c r="AB185" s="113"/>
    </row>
    <row r="186" spans="1:29" s="83" customFormat="1" x14ac:dyDescent="0.25">
      <c r="A186" s="60" t="s">
        <v>19</v>
      </c>
      <c r="B186" s="60" t="s">
        <v>19</v>
      </c>
      <c r="C186" s="60" t="s">
        <v>26</v>
      </c>
      <c r="D186" s="60" t="s">
        <v>19</v>
      </c>
      <c r="E186" s="60" t="s">
        <v>25</v>
      </c>
      <c r="F186" s="60" t="s">
        <v>19</v>
      </c>
      <c r="G186" s="60" t="s">
        <v>44</v>
      </c>
      <c r="H186" s="60" t="s">
        <v>20</v>
      </c>
      <c r="I186" s="60" t="s">
        <v>25</v>
      </c>
      <c r="J186" s="60" t="s">
        <v>19</v>
      </c>
      <c r="K186" s="60" t="s">
        <v>19</v>
      </c>
      <c r="L186" s="60" t="s">
        <v>21</v>
      </c>
      <c r="M186" s="60" t="s">
        <v>38</v>
      </c>
      <c r="N186" s="60" t="s">
        <v>19</v>
      </c>
      <c r="O186" s="60" t="s">
        <v>195</v>
      </c>
      <c r="P186" s="60" t="s">
        <v>22</v>
      </c>
      <c r="Q186" s="60" t="s">
        <v>26</v>
      </c>
      <c r="R186" s="165"/>
      <c r="S186" s="62" t="s">
        <v>0</v>
      </c>
      <c r="T186" s="1">
        <v>0</v>
      </c>
      <c r="U186" s="1">
        <v>2401</v>
      </c>
      <c r="V186" s="1">
        <v>1355</v>
      </c>
      <c r="W186" s="1">
        <v>1355</v>
      </c>
      <c r="X186" s="1">
        <v>1355</v>
      </c>
      <c r="Y186" s="1">
        <v>1355</v>
      </c>
      <c r="Z186" s="66">
        <f t="shared" si="39"/>
        <v>7821</v>
      </c>
      <c r="AA186" s="65">
        <v>2024</v>
      </c>
      <c r="AB186" s="113"/>
    </row>
    <row r="187" spans="1:29" s="83" customFormat="1" x14ac:dyDescent="0.25">
      <c r="A187" s="60" t="s">
        <v>19</v>
      </c>
      <c r="B187" s="60" t="s">
        <v>19</v>
      </c>
      <c r="C187" s="60" t="s">
        <v>26</v>
      </c>
      <c r="D187" s="60" t="s">
        <v>19</v>
      </c>
      <c r="E187" s="60" t="s">
        <v>25</v>
      </c>
      <c r="F187" s="60" t="s">
        <v>19</v>
      </c>
      <c r="G187" s="60" t="s">
        <v>44</v>
      </c>
      <c r="H187" s="60" t="s">
        <v>20</v>
      </c>
      <c r="I187" s="60" t="s">
        <v>25</v>
      </c>
      <c r="J187" s="60" t="s">
        <v>19</v>
      </c>
      <c r="K187" s="60" t="s">
        <v>19</v>
      </c>
      <c r="L187" s="60" t="s">
        <v>21</v>
      </c>
      <c r="M187" s="60" t="s">
        <v>19</v>
      </c>
      <c r="N187" s="60" t="s">
        <v>19</v>
      </c>
      <c r="O187" s="60" t="s">
        <v>19</v>
      </c>
      <c r="P187" s="60" t="s">
        <v>19</v>
      </c>
      <c r="Q187" s="60" t="s">
        <v>19</v>
      </c>
      <c r="R187" s="166"/>
      <c r="S187" s="62" t="s">
        <v>0</v>
      </c>
      <c r="T187" s="1">
        <v>0</v>
      </c>
      <c r="U187" s="1">
        <v>256.89999999999998</v>
      </c>
      <c r="V187" s="1">
        <v>145</v>
      </c>
      <c r="W187" s="1">
        <v>145</v>
      </c>
      <c r="X187" s="1">
        <v>145</v>
      </c>
      <c r="Y187" s="1">
        <v>145</v>
      </c>
      <c r="Z187" s="66">
        <f t="shared" si="39"/>
        <v>836.9</v>
      </c>
      <c r="AA187" s="65">
        <v>2024</v>
      </c>
      <c r="AB187" s="113"/>
    </row>
    <row r="188" spans="1:29" s="83" customFormat="1" ht="81.599999999999994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85" t="s">
        <v>343</v>
      </c>
      <c r="S188" s="69" t="s">
        <v>56</v>
      </c>
      <c r="T188" s="3">
        <v>0</v>
      </c>
      <c r="U188" s="3">
        <v>4.0999999999999996</v>
      </c>
      <c r="V188" s="3">
        <v>3.1</v>
      </c>
      <c r="W188" s="3">
        <v>3.1</v>
      </c>
      <c r="X188" s="3">
        <v>3.1</v>
      </c>
      <c r="Y188" s="3">
        <v>3.1</v>
      </c>
      <c r="Z188" s="6">
        <f t="shared" si="39"/>
        <v>16.5</v>
      </c>
      <c r="AA188" s="44">
        <v>2024</v>
      </c>
      <c r="AB188" s="113"/>
    </row>
    <row r="189" spans="1:29" s="83" customFormat="1" ht="47.25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87" t="s">
        <v>344</v>
      </c>
      <c r="S189" s="69" t="s">
        <v>39</v>
      </c>
      <c r="T189" s="47">
        <v>0</v>
      </c>
      <c r="U189" s="47">
        <v>5</v>
      </c>
      <c r="V189" s="47">
        <v>4</v>
      </c>
      <c r="W189" s="47">
        <v>4</v>
      </c>
      <c r="X189" s="47">
        <v>4</v>
      </c>
      <c r="Y189" s="47">
        <v>4</v>
      </c>
      <c r="Z189" s="6">
        <f t="shared" si="39"/>
        <v>21</v>
      </c>
      <c r="AA189" s="44">
        <v>2024</v>
      </c>
      <c r="AB189" s="113"/>
      <c r="AC189" s="88"/>
    </row>
    <row r="190" spans="1:29" s="150" customFormat="1" ht="63.6" hidden="1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106" t="s">
        <v>336</v>
      </c>
      <c r="S190" s="58" t="s">
        <v>39</v>
      </c>
      <c r="T190" s="47">
        <v>0</v>
      </c>
      <c r="U190" s="47">
        <v>5</v>
      </c>
      <c r="V190" s="47">
        <v>0</v>
      </c>
      <c r="W190" s="47">
        <v>0</v>
      </c>
      <c r="X190" s="47">
        <v>0</v>
      </c>
      <c r="Y190" s="47">
        <v>0</v>
      </c>
      <c r="Z190" s="55">
        <f t="shared" si="39"/>
        <v>5</v>
      </c>
      <c r="AA190" s="44">
        <v>2019</v>
      </c>
      <c r="AB190" s="121"/>
      <c r="AC190" s="149"/>
    </row>
    <row r="191" spans="1:29" s="83" customFormat="1" x14ac:dyDescent="0.25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164" t="s">
        <v>147</v>
      </c>
      <c r="S191" s="62" t="s">
        <v>0</v>
      </c>
      <c r="T191" s="66">
        <f t="shared" ref="T191:Y191" si="43">SUM(T192:T194)</f>
        <v>123487.5</v>
      </c>
      <c r="U191" s="66">
        <f t="shared" si="43"/>
        <v>0</v>
      </c>
      <c r="V191" s="66">
        <f t="shared" si="43"/>
        <v>0</v>
      </c>
      <c r="W191" s="66">
        <f t="shared" si="43"/>
        <v>0</v>
      </c>
      <c r="X191" s="66">
        <f t="shared" si="43"/>
        <v>0</v>
      </c>
      <c r="Y191" s="66">
        <f t="shared" si="43"/>
        <v>0</v>
      </c>
      <c r="Z191" s="66">
        <f t="shared" si="39"/>
        <v>123487.5</v>
      </c>
      <c r="AA191" s="65">
        <v>2018</v>
      </c>
      <c r="AB191" s="131"/>
    </row>
    <row r="192" spans="1:29" s="83" customFormat="1" x14ac:dyDescent="0.25">
      <c r="A192" s="60" t="s">
        <v>19</v>
      </c>
      <c r="B192" s="60" t="s">
        <v>20</v>
      </c>
      <c r="C192" s="60" t="s">
        <v>21</v>
      </c>
      <c r="D192" s="60" t="s">
        <v>19</v>
      </c>
      <c r="E192" s="60" t="s">
        <v>25</v>
      </c>
      <c r="F192" s="60" t="s">
        <v>19</v>
      </c>
      <c r="G192" s="60" t="s">
        <v>44</v>
      </c>
      <c r="H192" s="60" t="s">
        <v>20</v>
      </c>
      <c r="I192" s="60" t="s">
        <v>25</v>
      </c>
      <c r="J192" s="60" t="s">
        <v>19</v>
      </c>
      <c r="K192" s="60" t="s">
        <v>19</v>
      </c>
      <c r="L192" s="60" t="s">
        <v>21</v>
      </c>
      <c r="M192" s="60" t="s">
        <v>20</v>
      </c>
      <c r="N192" s="60" t="s">
        <v>19</v>
      </c>
      <c r="O192" s="60" t="s">
        <v>195</v>
      </c>
      <c r="P192" s="60" t="s">
        <v>22</v>
      </c>
      <c r="Q192" s="60" t="s">
        <v>26</v>
      </c>
      <c r="R192" s="165"/>
      <c r="S192" s="62" t="s">
        <v>0</v>
      </c>
      <c r="T192" s="1">
        <v>78128.899999999994</v>
      </c>
      <c r="U192" s="1">
        <f>57600.3-57600.3</f>
        <v>0</v>
      </c>
      <c r="V192" s="1">
        <v>0</v>
      </c>
      <c r="W192" s="1">
        <v>0</v>
      </c>
      <c r="X192" s="1">
        <v>0</v>
      </c>
      <c r="Y192" s="1">
        <v>0</v>
      </c>
      <c r="Z192" s="66">
        <f t="shared" si="39"/>
        <v>78128.899999999994</v>
      </c>
      <c r="AA192" s="65">
        <v>2018</v>
      </c>
      <c r="AB192" s="34"/>
    </row>
    <row r="193" spans="1:30" s="83" customFormat="1" x14ac:dyDescent="0.25">
      <c r="A193" s="60" t="s">
        <v>19</v>
      </c>
      <c r="B193" s="60" t="s">
        <v>20</v>
      </c>
      <c r="C193" s="60" t="s">
        <v>21</v>
      </c>
      <c r="D193" s="60" t="s">
        <v>19</v>
      </c>
      <c r="E193" s="60" t="s">
        <v>25</v>
      </c>
      <c r="F193" s="60" t="s">
        <v>19</v>
      </c>
      <c r="G193" s="60" t="s">
        <v>44</v>
      </c>
      <c r="H193" s="60" t="s">
        <v>20</v>
      </c>
      <c r="I193" s="60" t="s">
        <v>25</v>
      </c>
      <c r="J193" s="60" t="s">
        <v>19</v>
      </c>
      <c r="K193" s="60" t="s">
        <v>19</v>
      </c>
      <c r="L193" s="60" t="s">
        <v>21</v>
      </c>
      <c r="M193" s="60" t="s">
        <v>38</v>
      </c>
      <c r="N193" s="60" t="s">
        <v>19</v>
      </c>
      <c r="O193" s="60" t="s">
        <v>195</v>
      </c>
      <c r="P193" s="60" t="s">
        <v>22</v>
      </c>
      <c r="Q193" s="60" t="s">
        <v>26</v>
      </c>
      <c r="R193" s="165"/>
      <c r="S193" s="62" t="s">
        <v>0</v>
      </c>
      <c r="T193" s="1">
        <f>18932.6+19997.4+4074.8+2495.5-26-605.7-796.8</f>
        <v>44071.8</v>
      </c>
      <c r="U193" s="1">
        <f>0+14400.7-14400.7</f>
        <v>0</v>
      </c>
      <c r="V193" s="1">
        <v>0</v>
      </c>
      <c r="W193" s="1">
        <v>0</v>
      </c>
      <c r="X193" s="1">
        <v>0</v>
      </c>
      <c r="Y193" s="1">
        <v>0</v>
      </c>
      <c r="Z193" s="66">
        <f t="shared" si="39"/>
        <v>44071.8</v>
      </c>
      <c r="AA193" s="65">
        <v>2018</v>
      </c>
      <c r="AB193" s="34"/>
    </row>
    <row r="194" spans="1:30" s="83" customFormat="1" x14ac:dyDescent="0.25">
      <c r="A194" s="60" t="s">
        <v>19</v>
      </c>
      <c r="B194" s="60" t="s">
        <v>20</v>
      </c>
      <c r="C194" s="60" t="s">
        <v>21</v>
      </c>
      <c r="D194" s="60" t="s">
        <v>19</v>
      </c>
      <c r="E194" s="60" t="s">
        <v>25</v>
      </c>
      <c r="F194" s="60" t="s">
        <v>19</v>
      </c>
      <c r="G194" s="60" t="s">
        <v>44</v>
      </c>
      <c r="H194" s="60" t="s">
        <v>20</v>
      </c>
      <c r="I194" s="60" t="s">
        <v>25</v>
      </c>
      <c r="J194" s="60" t="s">
        <v>19</v>
      </c>
      <c r="K194" s="60" t="s">
        <v>19</v>
      </c>
      <c r="L194" s="60" t="s">
        <v>21</v>
      </c>
      <c r="M194" s="60" t="s">
        <v>19</v>
      </c>
      <c r="N194" s="60" t="s">
        <v>19</v>
      </c>
      <c r="O194" s="60" t="s">
        <v>19</v>
      </c>
      <c r="P194" s="60" t="s">
        <v>19</v>
      </c>
      <c r="Q194" s="60" t="s">
        <v>19</v>
      </c>
      <c r="R194" s="166"/>
      <c r="S194" s="62" t="s">
        <v>0</v>
      </c>
      <c r="T194" s="1">
        <f>2076.9+439-203.1-904.8-121.2</f>
        <v>1286.8000000000002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66">
        <f t="shared" si="39"/>
        <v>1286.8000000000002</v>
      </c>
      <c r="AA194" s="65">
        <v>2018</v>
      </c>
      <c r="AB194" s="34"/>
    </row>
    <row r="195" spans="1:30" s="150" customFormat="1" ht="78.75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85" t="s">
        <v>345</v>
      </c>
      <c r="S195" s="58" t="s">
        <v>56</v>
      </c>
      <c r="T195" s="3">
        <v>58.6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6">
        <f t="shared" si="39"/>
        <v>58.6</v>
      </c>
      <c r="AA195" s="44">
        <v>2018</v>
      </c>
      <c r="AB195" s="121"/>
    </row>
    <row r="196" spans="1:30" s="150" customFormat="1" ht="48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85" t="s">
        <v>346</v>
      </c>
      <c r="S196" s="58" t="s">
        <v>39</v>
      </c>
      <c r="T196" s="47">
        <v>28</v>
      </c>
      <c r="U196" s="47">
        <v>0</v>
      </c>
      <c r="V196" s="47">
        <v>0</v>
      </c>
      <c r="W196" s="47">
        <v>0</v>
      </c>
      <c r="X196" s="47">
        <v>0</v>
      </c>
      <c r="Y196" s="47">
        <v>0</v>
      </c>
      <c r="Z196" s="55">
        <f t="shared" si="39"/>
        <v>28</v>
      </c>
      <c r="AA196" s="44">
        <v>2018</v>
      </c>
      <c r="AB196" s="121"/>
      <c r="AC196" s="149"/>
    </row>
    <row r="197" spans="1:30" s="83" customFormat="1" ht="47.25" x14ac:dyDescent="0.25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84" t="s">
        <v>203</v>
      </c>
      <c r="S197" s="62" t="s">
        <v>51</v>
      </c>
      <c r="T197" s="63">
        <v>1</v>
      </c>
      <c r="U197" s="63">
        <v>1</v>
      </c>
      <c r="V197" s="63">
        <v>1</v>
      </c>
      <c r="W197" s="63">
        <v>1</v>
      </c>
      <c r="X197" s="63">
        <v>1</v>
      </c>
      <c r="Y197" s="63">
        <v>1</v>
      </c>
      <c r="Z197" s="64">
        <v>1</v>
      </c>
      <c r="AA197" s="65">
        <v>2023</v>
      </c>
      <c r="AB197" s="34"/>
    </row>
    <row r="198" spans="1:30" ht="29.4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85" t="s">
        <v>148</v>
      </c>
      <c r="S198" s="44" t="s">
        <v>52</v>
      </c>
      <c r="T198" s="47">
        <f>25+19+31+16</f>
        <v>91</v>
      </c>
      <c r="U198" s="47">
        <v>170</v>
      </c>
      <c r="V198" s="47">
        <v>170</v>
      </c>
      <c r="W198" s="47">
        <v>170</v>
      </c>
      <c r="X198" s="47">
        <v>170</v>
      </c>
      <c r="Y198" s="47">
        <v>170</v>
      </c>
      <c r="Z198" s="55">
        <f>T198+U198+V198+W198+X198+Y198</f>
        <v>941</v>
      </c>
      <c r="AA198" s="44">
        <v>2023</v>
      </c>
      <c r="AB198" s="139"/>
      <c r="AC198" s="111"/>
      <c r="AD198" s="111"/>
    </row>
    <row r="199" spans="1:30" ht="52.15" customHeight="1" x14ac:dyDescent="0.25">
      <c r="A199" s="60"/>
      <c r="B199" s="60"/>
      <c r="C199" s="60"/>
      <c r="D199" s="60"/>
      <c r="E199" s="60"/>
      <c r="F199" s="60"/>
      <c r="G199" s="60"/>
      <c r="H199" s="60" t="s">
        <v>20</v>
      </c>
      <c r="I199" s="60" t="s">
        <v>25</v>
      </c>
      <c r="J199" s="60" t="s">
        <v>19</v>
      </c>
      <c r="K199" s="60" t="s">
        <v>19</v>
      </c>
      <c r="L199" s="60" t="s">
        <v>21</v>
      </c>
      <c r="M199" s="60" t="s">
        <v>19</v>
      </c>
      <c r="N199" s="60" t="s">
        <v>19</v>
      </c>
      <c r="O199" s="60" t="s">
        <v>19</v>
      </c>
      <c r="P199" s="60" t="s">
        <v>19</v>
      </c>
      <c r="Q199" s="60" t="s">
        <v>19</v>
      </c>
      <c r="R199" s="84" t="s">
        <v>149</v>
      </c>
      <c r="S199" s="65" t="s">
        <v>0</v>
      </c>
      <c r="T199" s="66">
        <f>T202+T244+T370+T282+T442</f>
        <v>22266.715</v>
      </c>
      <c r="U199" s="66">
        <v>8228.2999999999993</v>
      </c>
      <c r="V199" s="66">
        <v>8228.2999999999993</v>
      </c>
      <c r="W199" s="66">
        <v>8228.2999999999993</v>
      </c>
      <c r="X199" s="66">
        <v>8228.2999999999993</v>
      </c>
      <c r="Y199" s="66">
        <v>8228.2999999999993</v>
      </c>
      <c r="Z199" s="66">
        <f>T199+U199+V199+W199+X199+Y199</f>
        <v>63408.215000000011</v>
      </c>
      <c r="AA199" s="65">
        <v>2023</v>
      </c>
      <c r="AB199" s="40"/>
      <c r="AC199" s="111"/>
      <c r="AD199" s="111"/>
    </row>
    <row r="200" spans="1:30" ht="47.25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87" t="s">
        <v>213</v>
      </c>
      <c r="S200" s="69" t="s">
        <v>56</v>
      </c>
      <c r="T200" s="3">
        <f>T249+T287+T374</f>
        <v>4.4000000000000004</v>
      </c>
      <c r="U200" s="3">
        <f>U443</f>
        <v>7</v>
      </c>
      <c r="V200" s="3">
        <f>V443</f>
        <v>7</v>
      </c>
      <c r="W200" s="3">
        <f>W443</f>
        <v>7</v>
      </c>
      <c r="X200" s="3">
        <f>X443</f>
        <v>7</v>
      </c>
      <c r="Y200" s="3">
        <f>Y443</f>
        <v>7</v>
      </c>
      <c r="Z200" s="6">
        <f t="shared" ref="Z200:Z208" si="44">SUM(T200:Y200)</f>
        <v>39.4</v>
      </c>
      <c r="AA200" s="80">
        <v>2023</v>
      </c>
      <c r="AB200" s="9"/>
      <c r="AC200" s="111"/>
      <c r="AD200" s="111"/>
    </row>
    <row r="201" spans="1:30" ht="47.25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87" t="s">
        <v>204</v>
      </c>
      <c r="S201" s="44" t="s">
        <v>52</v>
      </c>
      <c r="T201" s="47">
        <f>T208+T250+T288+T376</f>
        <v>30</v>
      </c>
      <c r="U201" s="47">
        <v>7</v>
      </c>
      <c r="V201" s="47">
        <v>7</v>
      </c>
      <c r="W201" s="47">
        <v>7</v>
      </c>
      <c r="X201" s="47">
        <v>7</v>
      </c>
      <c r="Y201" s="47">
        <v>7</v>
      </c>
      <c r="Z201" s="55">
        <f t="shared" si="44"/>
        <v>65</v>
      </c>
      <c r="AA201" s="80">
        <v>2023</v>
      </c>
      <c r="AB201" s="9"/>
      <c r="AC201" s="111"/>
      <c r="AD201" s="111"/>
    </row>
    <row r="202" spans="1:30" x14ac:dyDescent="0.25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164" t="s">
        <v>149</v>
      </c>
      <c r="S202" s="70" t="s">
        <v>0</v>
      </c>
      <c r="T202" s="1">
        <f>SUM(T203:T205)</f>
        <v>2922.6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66">
        <f t="shared" si="44"/>
        <v>2922.6</v>
      </c>
      <c r="AA202" s="65">
        <v>2018</v>
      </c>
      <c r="AB202" s="135"/>
      <c r="AC202" s="111"/>
      <c r="AD202" s="111"/>
    </row>
    <row r="203" spans="1:30" x14ac:dyDescent="0.25">
      <c r="A203" s="60" t="s">
        <v>19</v>
      </c>
      <c r="B203" s="60" t="s">
        <v>19</v>
      </c>
      <c r="C203" s="60" t="s">
        <v>23</v>
      </c>
      <c r="D203" s="60" t="s">
        <v>19</v>
      </c>
      <c r="E203" s="60" t="s">
        <v>19</v>
      </c>
      <c r="F203" s="60" t="s">
        <v>19</v>
      </c>
      <c r="G203" s="60" t="s">
        <v>19</v>
      </c>
      <c r="H203" s="60" t="s">
        <v>20</v>
      </c>
      <c r="I203" s="60" t="s">
        <v>25</v>
      </c>
      <c r="J203" s="60" t="s">
        <v>19</v>
      </c>
      <c r="K203" s="60" t="s">
        <v>19</v>
      </c>
      <c r="L203" s="60" t="s">
        <v>21</v>
      </c>
      <c r="M203" s="60" t="s">
        <v>20</v>
      </c>
      <c r="N203" s="60" t="s">
        <v>19</v>
      </c>
      <c r="O203" s="60" t="s">
        <v>25</v>
      </c>
      <c r="P203" s="60" t="s">
        <v>23</v>
      </c>
      <c r="Q203" s="60" t="s">
        <v>46</v>
      </c>
      <c r="R203" s="165"/>
      <c r="S203" s="70" t="s">
        <v>0</v>
      </c>
      <c r="T203" s="1">
        <f>T210+T215+T220+T226+T232+T239</f>
        <v>1229.5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66">
        <f t="shared" si="44"/>
        <v>1229.5</v>
      </c>
      <c r="AA203" s="65">
        <v>2018</v>
      </c>
      <c r="AB203" s="135"/>
      <c r="AC203" s="111"/>
      <c r="AD203" s="111"/>
    </row>
    <row r="204" spans="1:30" x14ac:dyDescent="0.25">
      <c r="A204" s="60" t="s">
        <v>19</v>
      </c>
      <c r="B204" s="60" t="s">
        <v>19</v>
      </c>
      <c r="C204" s="60" t="s">
        <v>23</v>
      </c>
      <c r="D204" s="60" t="s">
        <v>19</v>
      </c>
      <c r="E204" s="60" t="s">
        <v>19</v>
      </c>
      <c r="F204" s="60" t="s">
        <v>19</v>
      </c>
      <c r="G204" s="60" t="s">
        <v>19</v>
      </c>
      <c r="H204" s="60" t="s">
        <v>20</v>
      </c>
      <c r="I204" s="60" t="s">
        <v>25</v>
      </c>
      <c r="J204" s="60" t="s">
        <v>19</v>
      </c>
      <c r="K204" s="60" t="s">
        <v>19</v>
      </c>
      <c r="L204" s="60" t="s">
        <v>21</v>
      </c>
      <c r="M204" s="60" t="s">
        <v>38</v>
      </c>
      <c r="N204" s="60" t="s">
        <v>19</v>
      </c>
      <c r="O204" s="60" t="s">
        <v>25</v>
      </c>
      <c r="P204" s="60" t="s">
        <v>23</v>
      </c>
      <c r="Q204" s="60" t="s">
        <v>47</v>
      </c>
      <c r="R204" s="165"/>
      <c r="S204" s="70" t="s">
        <v>0</v>
      </c>
      <c r="T204" s="1">
        <f>T211+T216+T221+T222+T227+T228+T233+T234+T240+T241</f>
        <v>647.1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66">
        <f t="shared" si="44"/>
        <v>647.1</v>
      </c>
      <c r="AA204" s="65">
        <v>2018</v>
      </c>
      <c r="AB204" s="135"/>
      <c r="AC204" s="111"/>
      <c r="AD204" s="111"/>
    </row>
    <row r="205" spans="1:30" x14ac:dyDescent="0.25">
      <c r="A205" s="60" t="s">
        <v>19</v>
      </c>
      <c r="B205" s="60" t="s">
        <v>19</v>
      </c>
      <c r="C205" s="60" t="s">
        <v>23</v>
      </c>
      <c r="D205" s="60" t="s">
        <v>19</v>
      </c>
      <c r="E205" s="60" t="s">
        <v>19</v>
      </c>
      <c r="F205" s="60" t="s">
        <v>19</v>
      </c>
      <c r="G205" s="60" t="s">
        <v>19</v>
      </c>
      <c r="H205" s="60" t="s">
        <v>20</v>
      </c>
      <c r="I205" s="60" t="s">
        <v>25</v>
      </c>
      <c r="J205" s="60" t="s">
        <v>19</v>
      </c>
      <c r="K205" s="60" t="s">
        <v>19</v>
      </c>
      <c r="L205" s="60" t="s">
        <v>21</v>
      </c>
      <c r="M205" s="60" t="s">
        <v>38</v>
      </c>
      <c r="N205" s="60" t="s">
        <v>19</v>
      </c>
      <c r="O205" s="60" t="s">
        <v>25</v>
      </c>
      <c r="P205" s="60" t="s">
        <v>23</v>
      </c>
      <c r="Q205" s="60" t="s">
        <v>40</v>
      </c>
      <c r="R205" s="166"/>
      <c r="S205" s="70" t="s">
        <v>0</v>
      </c>
      <c r="T205" s="1">
        <v>1046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66">
        <f t="shared" si="44"/>
        <v>1046</v>
      </c>
      <c r="AA205" s="65">
        <v>2018</v>
      </c>
      <c r="AB205" s="135"/>
      <c r="AC205" s="111"/>
      <c r="AD205" s="111"/>
    </row>
    <row r="206" spans="1:30" ht="47.25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85" t="s">
        <v>293</v>
      </c>
      <c r="S206" s="69" t="s">
        <v>56</v>
      </c>
      <c r="T206" s="3">
        <v>8.8000000000000007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6">
        <f t="shared" si="44"/>
        <v>8.8000000000000007</v>
      </c>
      <c r="AA206" s="44">
        <v>2018</v>
      </c>
      <c r="AB206" s="139"/>
      <c r="AC206" s="111"/>
      <c r="AD206" s="111"/>
    </row>
    <row r="207" spans="1:30" ht="46.9" hidden="1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87" t="s">
        <v>201</v>
      </c>
      <c r="S207" s="93" t="s">
        <v>200</v>
      </c>
      <c r="T207" s="3"/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6">
        <f t="shared" si="44"/>
        <v>0</v>
      </c>
      <c r="AA207" s="44">
        <v>2018</v>
      </c>
      <c r="AB207" s="139"/>
      <c r="AC207" s="111"/>
      <c r="AD207" s="111"/>
    </row>
    <row r="208" spans="1:30" ht="51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85" t="s">
        <v>214</v>
      </c>
      <c r="S208" s="93" t="s">
        <v>52</v>
      </c>
      <c r="T208" s="47">
        <v>3</v>
      </c>
      <c r="U208" s="47">
        <v>0</v>
      </c>
      <c r="V208" s="47">
        <v>0</v>
      </c>
      <c r="W208" s="47">
        <v>0</v>
      </c>
      <c r="X208" s="47">
        <v>0</v>
      </c>
      <c r="Y208" s="47">
        <v>0</v>
      </c>
      <c r="Z208" s="55">
        <f t="shared" si="44"/>
        <v>3</v>
      </c>
      <c r="AA208" s="44">
        <v>2018</v>
      </c>
      <c r="AB208" s="139"/>
      <c r="AC208" s="111"/>
      <c r="AD208" s="111"/>
    </row>
    <row r="209" spans="1:30" ht="15.6" hidden="1" customHeight="1" x14ac:dyDescent="0.25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164" t="s">
        <v>217</v>
      </c>
      <c r="S209" s="70" t="s">
        <v>0</v>
      </c>
      <c r="T209" s="1">
        <f>SUM(T210:T212)</f>
        <v>998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66">
        <f t="shared" ref="Z209:Z301" si="45">SUM(T209:Y209)</f>
        <v>998</v>
      </c>
      <c r="AA209" s="65">
        <v>2018</v>
      </c>
      <c r="AB209" s="96"/>
      <c r="AC209" s="111">
        <f>T210+T215+T220+T226+T232+T239+T252+T258+T263+T268+T273+T278+T290+T296+T303+T310+T317+T324+T331+T338+T345+T352+T358+T364+T378+T384+T390+T396+T402+T408+T413+T419+T425+T431+T437</f>
        <v>9265.1149999999998</v>
      </c>
      <c r="AD209" s="111"/>
    </row>
    <row r="210" spans="1:30" ht="15.6" hidden="1" customHeight="1" x14ac:dyDescent="0.25">
      <c r="A210" s="60" t="s">
        <v>19</v>
      </c>
      <c r="B210" s="60" t="s">
        <v>19</v>
      </c>
      <c r="C210" s="60" t="s">
        <v>23</v>
      </c>
      <c r="D210" s="60" t="s">
        <v>19</v>
      </c>
      <c r="E210" s="60" t="s">
        <v>22</v>
      </c>
      <c r="F210" s="60" t="s">
        <v>19</v>
      </c>
      <c r="G210" s="60" t="s">
        <v>23</v>
      </c>
      <c r="H210" s="60" t="s">
        <v>20</v>
      </c>
      <c r="I210" s="60" t="s">
        <v>25</v>
      </c>
      <c r="J210" s="60" t="s">
        <v>19</v>
      </c>
      <c r="K210" s="60" t="s">
        <v>19</v>
      </c>
      <c r="L210" s="60" t="s">
        <v>21</v>
      </c>
      <c r="M210" s="60" t="s">
        <v>20</v>
      </c>
      <c r="N210" s="60" t="s">
        <v>19</v>
      </c>
      <c r="O210" s="60" t="s">
        <v>25</v>
      </c>
      <c r="P210" s="60" t="s">
        <v>23</v>
      </c>
      <c r="Q210" s="60" t="s">
        <v>46</v>
      </c>
      <c r="R210" s="165"/>
      <c r="S210" s="70" t="s">
        <v>0</v>
      </c>
      <c r="T210" s="1">
        <v>399.2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66">
        <f t="shared" si="45"/>
        <v>399.2</v>
      </c>
      <c r="AA210" s="65">
        <v>2018</v>
      </c>
      <c r="AB210" s="9"/>
      <c r="AC210" s="111">
        <f>T211+T216+T221+T222+T227+T228+T233+T234+T240+T241+T254+T259+T264+T269+T274+T279+T292+T291+T299+T298+T306+T305+T313+T312+T320+T319+T327+T326+T334+T333+T340+T341+T347+T354+T360+T366+T367+T379+T380+T385+T386+T391+T392+T397+T398+T403+T404+T409+T414+T415+T420+T421+T426+T427+T432+T433+T438+T439+T348</f>
        <v>4643.8</v>
      </c>
      <c r="AD210" s="111"/>
    </row>
    <row r="211" spans="1:30" ht="15.6" hidden="1" customHeight="1" x14ac:dyDescent="0.25">
      <c r="A211" s="60" t="s">
        <v>19</v>
      </c>
      <c r="B211" s="60" t="s">
        <v>19</v>
      </c>
      <c r="C211" s="60" t="s">
        <v>23</v>
      </c>
      <c r="D211" s="60" t="s">
        <v>19</v>
      </c>
      <c r="E211" s="60" t="s">
        <v>22</v>
      </c>
      <c r="F211" s="60" t="s">
        <v>19</v>
      </c>
      <c r="G211" s="60" t="s">
        <v>23</v>
      </c>
      <c r="H211" s="60" t="s">
        <v>20</v>
      </c>
      <c r="I211" s="60" t="s">
        <v>25</v>
      </c>
      <c r="J211" s="60" t="s">
        <v>19</v>
      </c>
      <c r="K211" s="60" t="s">
        <v>19</v>
      </c>
      <c r="L211" s="60" t="s">
        <v>21</v>
      </c>
      <c r="M211" s="60" t="s">
        <v>38</v>
      </c>
      <c r="N211" s="60" t="s">
        <v>19</v>
      </c>
      <c r="O211" s="60" t="s">
        <v>25</v>
      </c>
      <c r="P211" s="60" t="s">
        <v>23</v>
      </c>
      <c r="Q211" s="60" t="s">
        <v>47</v>
      </c>
      <c r="R211" s="165"/>
      <c r="S211" s="70" t="s">
        <v>0</v>
      </c>
      <c r="T211" s="1">
        <v>199.6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66">
        <f t="shared" si="45"/>
        <v>199.6</v>
      </c>
      <c r="AA211" s="65">
        <v>2018</v>
      </c>
      <c r="AB211" s="9"/>
      <c r="AC211" s="111">
        <f>T212+T217+T223+T229+T235+T242+T255+T260+T265+T270+T275+T280+T293+T300+T307+T314+T321+T328+T335+T342+T349+T355+T361+T368+T381+T387+T393+T399+T405+T410+T416+T422+T428+T434+T440</f>
        <v>9745.0000000000018</v>
      </c>
      <c r="AD211" s="111"/>
    </row>
    <row r="212" spans="1:30" ht="15.6" hidden="1" customHeight="1" x14ac:dyDescent="0.25">
      <c r="A212" s="60" t="s">
        <v>19</v>
      </c>
      <c r="B212" s="60" t="s">
        <v>19</v>
      </c>
      <c r="C212" s="60" t="s">
        <v>23</v>
      </c>
      <c r="D212" s="60" t="s">
        <v>19</v>
      </c>
      <c r="E212" s="60" t="s">
        <v>22</v>
      </c>
      <c r="F212" s="60" t="s">
        <v>19</v>
      </c>
      <c r="G212" s="60" t="s">
        <v>23</v>
      </c>
      <c r="H212" s="60" t="s">
        <v>20</v>
      </c>
      <c r="I212" s="60" t="s">
        <v>25</v>
      </c>
      <c r="J212" s="60" t="s">
        <v>19</v>
      </c>
      <c r="K212" s="60" t="s">
        <v>19</v>
      </c>
      <c r="L212" s="60" t="s">
        <v>21</v>
      </c>
      <c r="M212" s="60" t="s">
        <v>38</v>
      </c>
      <c r="N212" s="60" t="s">
        <v>19</v>
      </c>
      <c r="O212" s="60" t="s">
        <v>25</v>
      </c>
      <c r="P212" s="60" t="s">
        <v>23</v>
      </c>
      <c r="Q212" s="60" t="s">
        <v>40</v>
      </c>
      <c r="R212" s="166"/>
      <c r="S212" s="70" t="s">
        <v>0</v>
      </c>
      <c r="T212" s="1">
        <v>399.2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66">
        <f t="shared" si="45"/>
        <v>399.2</v>
      </c>
      <c r="AA212" s="65">
        <v>2018</v>
      </c>
      <c r="AB212" s="9"/>
      <c r="AC212" s="111">
        <f>T253+T297+T304+T311+T318+T325+T332+T339+T346+T353+T359+T365</f>
        <v>380</v>
      </c>
      <c r="AD212" s="111"/>
    </row>
    <row r="213" spans="1:30" ht="31.15" hidden="1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87" t="s">
        <v>218</v>
      </c>
      <c r="S213" s="93" t="s">
        <v>193</v>
      </c>
      <c r="T213" s="3">
        <v>8750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6">
        <f t="shared" si="45"/>
        <v>8750</v>
      </c>
      <c r="AA213" s="44">
        <v>2018</v>
      </c>
      <c r="AB213" s="9"/>
      <c r="AC213" s="111">
        <f>SUM(AC209:AC212)</f>
        <v>24033.915000000001</v>
      </c>
      <c r="AD213" s="111"/>
    </row>
    <row r="214" spans="1:30" ht="15.6" hidden="1" customHeight="1" x14ac:dyDescent="0.25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164" t="s">
        <v>219</v>
      </c>
      <c r="S214" s="70" t="s">
        <v>0</v>
      </c>
      <c r="T214" s="1">
        <f>SUM(T215:T217)</f>
        <v>150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66">
        <f t="shared" si="45"/>
        <v>150</v>
      </c>
      <c r="AA214" s="65">
        <v>2018</v>
      </c>
      <c r="AB214" s="9"/>
      <c r="AC214" s="111"/>
      <c r="AD214" s="111"/>
    </row>
    <row r="215" spans="1:30" ht="15.6" hidden="1" customHeight="1" x14ac:dyDescent="0.25">
      <c r="A215" s="60" t="s">
        <v>19</v>
      </c>
      <c r="B215" s="60" t="s">
        <v>19</v>
      </c>
      <c r="C215" s="60" t="s">
        <v>23</v>
      </c>
      <c r="D215" s="60" t="s">
        <v>19</v>
      </c>
      <c r="E215" s="60" t="s">
        <v>22</v>
      </c>
      <c r="F215" s="60" t="s">
        <v>19</v>
      </c>
      <c r="G215" s="60" t="s">
        <v>23</v>
      </c>
      <c r="H215" s="60" t="s">
        <v>20</v>
      </c>
      <c r="I215" s="60" t="s">
        <v>25</v>
      </c>
      <c r="J215" s="60" t="s">
        <v>19</v>
      </c>
      <c r="K215" s="60" t="s">
        <v>19</v>
      </c>
      <c r="L215" s="60" t="s">
        <v>21</v>
      </c>
      <c r="M215" s="60" t="s">
        <v>20</v>
      </c>
      <c r="N215" s="60" t="s">
        <v>19</v>
      </c>
      <c r="O215" s="60" t="s">
        <v>25</v>
      </c>
      <c r="P215" s="60" t="s">
        <v>23</v>
      </c>
      <c r="Q215" s="60" t="s">
        <v>46</v>
      </c>
      <c r="R215" s="165"/>
      <c r="S215" s="70" t="s">
        <v>0</v>
      </c>
      <c r="T215" s="1">
        <v>60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66">
        <f t="shared" si="45"/>
        <v>60</v>
      </c>
      <c r="AA215" s="65">
        <v>2018</v>
      </c>
      <c r="AB215" s="9"/>
      <c r="AC215" s="111"/>
      <c r="AD215" s="111"/>
    </row>
    <row r="216" spans="1:30" ht="15.6" hidden="1" customHeight="1" x14ac:dyDescent="0.25">
      <c r="A216" s="60" t="s">
        <v>19</v>
      </c>
      <c r="B216" s="60" t="s">
        <v>19</v>
      </c>
      <c r="C216" s="60" t="s">
        <v>23</v>
      </c>
      <c r="D216" s="60" t="s">
        <v>19</v>
      </c>
      <c r="E216" s="60" t="s">
        <v>22</v>
      </c>
      <c r="F216" s="60" t="s">
        <v>19</v>
      </c>
      <c r="G216" s="60" t="s">
        <v>23</v>
      </c>
      <c r="H216" s="60" t="s">
        <v>20</v>
      </c>
      <c r="I216" s="60" t="s">
        <v>25</v>
      </c>
      <c r="J216" s="60" t="s">
        <v>19</v>
      </c>
      <c r="K216" s="60" t="s">
        <v>19</v>
      </c>
      <c r="L216" s="60" t="s">
        <v>21</v>
      </c>
      <c r="M216" s="60" t="s">
        <v>38</v>
      </c>
      <c r="N216" s="60" t="s">
        <v>19</v>
      </c>
      <c r="O216" s="60" t="s">
        <v>25</v>
      </c>
      <c r="P216" s="60" t="s">
        <v>23</v>
      </c>
      <c r="Q216" s="60" t="s">
        <v>47</v>
      </c>
      <c r="R216" s="165"/>
      <c r="S216" s="70" t="s">
        <v>0</v>
      </c>
      <c r="T216" s="1">
        <v>30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66">
        <f t="shared" si="45"/>
        <v>30</v>
      </c>
      <c r="AA216" s="65">
        <v>2018</v>
      </c>
      <c r="AB216" s="9"/>
      <c r="AC216" s="111"/>
      <c r="AD216" s="111"/>
    </row>
    <row r="217" spans="1:30" ht="15.6" hidden="1" customHeight="1" x14ac:dyDescent="0.25">
      <c r="A217" s="60" t="s">
        <v>19</v>
      </c>
      <c r="B217" s="60" t="s">
        <v>19</v>
      </c>
      <c r="C217" s="60" t="s">
        <v>23</v>
      </c>
      <c r="D217" s="60" t="s">
        <v>19</v>
      </c>
      <c r="E217" s="60" t="s">
        <v>22</v>
      </c>
      <c r="F217" s="60" t="s">
        <v>19</v>
      </c>
      <c r="G217" s="60" t="s">
        <v>23</v>
      </c>
      <c r="H217" s="60" t="s">
        <v>20</v>
      </c>
      <c r="I217" s="60" t="s">
        <v>25</v>
      </c>
      <c r="J217" s="60" t="s">
        <v>19</v>
      </c>
      <c r="K217" s="60" t="s">
        <v>19</v>
      </c>
      <c r="L217" s="60" t="s">
        <v>21</v>
      </c>
      <c r="M217" s="60" t="s">
        <v>38</v>
      </c>
      <c r="N217" s="60" t="s">
        <v>19</v>
      </c>
      <c r="O217" s="60" t="s">
        <v>25</v>
      </c>
      <c r="P217" s="60" t="s">
        <v>23</v>
      </c>
      <c r="Q217" s="60" t="s">
        <v>40</v>
      </c>
      <c r="R217" s="166"/>
      <c r="S217" s="70" t="s">
        <v>0</v>
      </c>
      <c r="T217" s="1">
        <v>60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66">
        <f t="shared" si="45"/>
        <v>60</v>
      </c>
      <c r="AA217" s="65">
        <v>2018</v>
      </c>
      <c r="AB217" s="9"/>
      <c r="AC217" s="111"/>
      <c r="AD217" s="111"/>
    </row>
    <row r="218" spans="1:30" ht="46.9" hidden="1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87" t="s">
        <v>220</v>
      </c>
      <c r="S218" s="93" t="s">
        <v>52</v>
      </c>
      <c r="T218" s="47">
        <v>7</v>
      </c>
      <c r="U218" s="47">
        <v>0</v>
      </c>
      <c r="V218" s="47">
        <v>0</v>
      </c>
      <c r="W218" s="47">
        <v>0</v>
      </c>
      <c r="X218" s="47">
        <v>0</v>
      </c>
      <c r="Y218" s="47">
        <v>0</v>
      </c>
      <c r="Z218" s="55">
        <f t="shared" si="45"/>
        <v>7</v>
      </c>
      <c r="AA218" s="44">
        <v>2018</v>
      </c>
      <c r="AB218" s="9"/>
      <c r="AC218" s="111"/>
      <c r="AD218" s="111"/>
    </row>
    <row r="219" spans="1:30" ht="15.6" hidden="1" customHeight="1" x14ac:dyDescent="0.25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164" t="s">
        <v>221</v>
      </c>
      <c r="S219" s="70" t="s">
        <v>0</v>
      </c>
      <c r="T219" s="1">
        <f>SUM(T220:T223)</f>
        <v>1031.5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66">
        <f t="shared" si="45"/>
        <v>1031.5</v>
      </c>
      <c r="AA219" s="65">
        <v>2018</v>
      </c>
      <c r="AB219" s="9"/>
      <c r="AC219" s="111"/>
      <c r="AD219" s="111"/>
    </row>
    <row r="220" spans="1:30" ht="15.6" hidden="1" customHeight="1" x14ac:dyDescent="0.25">
      <c r="A220" s="60" t="s">
        <v>19</v>
      </c>
      <c r="B220" s="60" t="s">
        <v>19</v>
      </c>
      <c r="C220" s="60" t="s">
        <v>23</v>
      </c>
      <c r="D220" s="60" t="s">
        <v>19</v>
      </c>
      <c r="E220" s="60" t="s">
        <v>22</v>
      </c>
      <c r="F220" s="60" t="s">
        <v>19</v>
      </c>
      <c r="G220" s="60" t="s">
        <v>23</v>
      </c>
      <c r="H220" s="60" t="s">
        <v>20</v>
      </c>
      <c r="I220" s="60" t="s">
        <v>25</v>
      </c>
      <c r="J220" s="60" t="s">
        <v>19</v>
      </c>
      <c r="K220" s="60" t="s">
        <v>19</v>
      </c>
      <c r="L220" s="60" t="s">
        <v>21</v>
      </c>
      <c r="M220" s="60" t="s">
        <v>20</v>
      </c>
      <c r="N220" s="60" t="s">
        <v>19</v>
      </c>
      <c r="O220" s="60" t="s">
        <v>25</v>
      </c>
      <c r="P220" s="60" t="s">
        <v>23</v>
      </c>
      <c r="Q220" s="60" t="s">
        <v>46</v>
      </c>
      <c r="R220" s="165"/>
      <c r="S220" s="70" t="s">
        <v>0</v>
      </c>
      <c r="T220" s="1">
        <v>400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66">
        <f t="shared" si="45"/>
        <v>400</v>
      </c>
      <c r="AA220" s="65">
        <v>2018</v>
      </c>
      <c r="AB220" s="9"/>
      <c r="AC220" s="111"/>
      <c r="AD220" s="111"/>
    </row>
    <row r="221" spans="1:30" ht="15.6" hidden="1" customHeight="1" x14ac:dyDescent="0.25">
      <c r="A221" s="60" t="s">
        <v>19</v>
      </c>
      <c r="B221" s="60" t="s">
        <v>19</v>
      </c>
      <c r="C221" s="60" t="s">
        <v>23</v>
      </c>
      <c r="D221" s="60" t="s">
        <v>19</v>
      </c>
      <c r="E221" s="60" t="s">
        <v>22</v>
      </c>
      <c r="F221" s="60" t="s">
        <v>19</v>
      </c>
      <c r="G221" s="60" t="s">
        <v>23</v>
      </c>
      <c r="H221" s="60" t="s">
        <v>20</v>
      </c>
      <c r="I221" s="60" t="s">
        <v>25</v>
      </c>
      <c r="J221" s="60" t="s">
        <v>19</v>
      </c>
      <c r="K221" s="60" t="s">
        <v>19</v>
      </c>
      <c r="L221" s="60" t="s">
        <v>21</v>
      </c>
      <c r="M221" s="60" t="s">
        <v>38</v>
      </c>
      <c r="N221" s="60" t="s">
        <v>19</v>
      </c>
      <c r="O221" s="60" t="s">
        <v>25</v>
      </c>
      <c r="P221" s="60" t="s">
        <v>23</v>
      </c>
      <c r="Q221" s="60" t="s">
        <v>47</v>
      </c>
      <c r="R221" s="165"/>
      <c r="S221" s="70" t="s">
        <v>0</v>
      </c>
      <c r="T221" s="1">
        <v>2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66">
        <f t="shared" si="45"/>
        <v>2</v>
      </c>
      <c r="AA221" s="65">
        <v>2018</v>
      </c>
      <c r="AB221" s="9"/>
      <c r="AC221" s="111"/>
      <c r="AD221" s="111"/>
    </row>
    <row r="222" spans="1:30" ht="15.6" hidden="1" customHeight="1" x14ac:dyDescent="0.25">
      <c r="A222" s="60" t="s">
        <v>19</v>
      </c>
      <c r="B222" s="60" t="s">
        <v>19</v>
      </c>
      <c r="C222" s="60" t="s">
        <v>23</v>
      </c>
      <c r="D222" s="60" t="s">
        <v>19</v>
      </c>
      <c r="E222" s="60" t="s">
        <v>22</v>
      </c>
      <c r="F222" s="60" t="s">
        <v>19</v>
      </c>
      <c r="G222" s="60" t="s">
        <v>23</v>
      </c>
      <c r="H222" s="60" t="s">
        <v>20</v>
      </c>
      <c r="I222" s="60" t="s">
        <v>25</v>
      </c>
      <c r="J222" s="60" t="s">
        <v>19</v>
      </c>
      <c r="K222" s="60" t="s">
        <v>19</v>
      </c>
      <c r="L222" s="60" t="s">
        <v>21</v>
      </c>
      <c r="M222" s="60" t="s">
        <v>38</v>
      </c>
      <c r="N222" s="60" t="s">
        <v>19</v>
      </c>
      <c r="O222" s="60" t="s">
        <v>25</v>
      </c>
      <c r="P222" s="60" t="s">
        <v>23</v>
      </c>
      <c r="Q222" s="60" t="s">
        <v>47</v>
      </c>
      <c r="R222" s="165"/>
      <c r="S222" s="70" t="s">
        <v>0</v>
      </c>
      <c r="T222" s="1">
        <v>229.5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66">
        <f t="shared" si="45"/>
        <v>229.5</v>
      </c>
      <c r="AA222" s="65">
        <v>2018</v>
      </c>
      <c r="AB222" s="9"/>
      <c r="AC222" s="111"/>
      <c r="AD222" s="111"/>
    </row>
    <row r="223" spans="1:30" ht="15.6" hidden="1" customHeight="1" x14ac:dyDescent="0.25">
      <c r="A223" s="60" t="s">
        <v>19</v>
      </c>
      <c r="B223" s="60" t="s">
        <v>19</v>
      </c>
      <c r="C223" s="60" t="s">
        <v>23</v>
      </c>
      <c r="D223" s="60" t="s">
        <v>19</v>
      </c>
      <c r="E223" s="60" t="s">
        <v>22</v>
      </c>
      <c r="F223" s="60" t="s">
        <v>19</v>
      </c>
      <c r="G223" s="60" t="s">
        <v>23</v>
      </c>
      <c r="H223" s="60" t="s">
        <v>20</v>
      </c>
      <c r="I223" s="60" t="s">
        <v>25</v>
      </c>
      <c r="J223" s="60" t="s">
        <v>19</v>
      </c>
      <c r="K223" s="60" t="s">
        <v>19</v>
      </c>
      <c r="L223" s="60" t="s">
        <v>21</v>
      </c>
      <c r="M223" s="60" t="s">
        <v>38</v>
      </c>
      <c r="N223" s="60" t="s">
        <v>19</v>
      </c>
      <c r="O223" s="60" t="s">
        <v>25</v>
      </c>
      <c r="P223" s="60" t="s">
        <v>23</v>
      </c>
      <c r="Q223" s="60" t="s">
        <v>40</v>
      </c>
      <c r="R223" s="166"/>
      <c r="S223" s="70" t="s">
        <v>0</v>
      </c>
      <c r="T223" s="1">
        <v>400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66">
        <f t="shared" si="45"/>
        <v>400</v>
      </c>
      <c r="AA223" s="65">
        <v>2018</v>
      </c>
      <c r="AB223" s="9"/>
      <c r="AC223" s="111"/>
      <c r="AD223" s="111"/>
    </row>
    <row r="224" spans="1:30" ht="45.6" hidden="1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87" t="s">
        <v>222</v>
      </c>
      <c r="S224" s="93" t="s">
        <v>52</v>
      </c>
      <c r="T224" s="47">
        <v>44</v>
      </c>
      <c r="U224" s="47">
        <v>0</v>
      </c>
      <c r="V224" s="47">
        <v>0</v>
      </c>
      <c r="W224" s="47">
        <v>0</v>
      </c>
      <c r="X224" s="47">
        <v>0</v>
      </c>
      <c r="Y224" s="47">
        <v>0</v>
      </c>
      <c r="Z224" s="55">
        <f t="shared" si="45"/>
        <v>44</v>
      </c>
      <c r="AA224" s="44">
        <v>2018</v>
      </c>
      <c r="AB224" s="9"/>
      <c r="AC224" s="111"/>
      <c r="AD224" s="111"/>
    </row>
    <row r="225" spans="1:30" ht="15.6" hidden="1" customHeight="1" x14ac:dyDescent="0.25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164" t="s">
        <v>223</v>
      </c>
      <c r="S225" s="70" t="s">
        <v>0</v>
      </c>
      <c r="T225" s="1">
        <f>SUM(T226:T229)</f>
        <v>613.5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66">
        <f t="shared" si="45"/>
        <v>613.5</v>
      </c>
      <c r="AA225" s="65">
        <v>2018</v>
      </c>
      <c r="AB225" s="9"/>
      <c r="AC225" s="111"/>
      <c r="AD225" s="111"/>
    </row>
    <row r="226" spans="1:30" ht="15.6" hidden="1" customHeight="1" x14ac:dyDescent="0.25">
      <c r="A226" s="60" t="s">
        <v>19</v>
      </c>
      <c r="B226" s="60" t="s">
        <v>19</v>
      </c>
      <c r="C226" s="60" t="s">
        <v>23</v>
      </c>
      <c r="D226" s="60" t="s">
        <v>19</v>
      </c>
      <c r="E226" s="60" t="s">
        <v>22</v>
      </c>
      <c r="F226" s="60" t="s">
        <v>19</v>
      </c>
      <c r="G226" s="60" t="s">
        <v>23</v>
      </c>
      <c r="H226" s="60" t="s">
        <v>20</v>
      </c>
      <c r="I226" s="60" t="s">
        <v>25</v>
      </c>
      <c r="J226" s="60" t="s">
        <v>19</v>
      </c>
      <c r="K226" s="60" t="s">
        <v>19</v>
      </c>
      <c r="L226" s="60" t="s">
        <v>21</v>
      </c>
      <c r="M226" s="60" t="s">
        <v>20</v>
      </c>
      <c r="N226" s="60" t="s">
        <v>19</v>
      </c>
      <c r="O226" s="60" t="s">
        <v>25</v>
      </c>
      <c r="P226" s="60" t="s">
        <v>23</v>
      </c>
      <c r="Q226" s="60" t="s">
        <v>46</v>
      </c>
      <c r="R226" s="165"/>
      <c r="S226" s="70" t="s">
        <v>0</v>
      </c>
      <c r="T226" s="1">
        <v>245.4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66">
        <f t="shared" si="45"/>
        <v>245.4</v>
      </c>
      <c r="AA226" s="65">
        <v>2018</v>
      </c>
      <c r="AB226" s="9"/>
      <c r="AC226" s="111"/>
      <c r="AD226" s="111"/>
    </row>
    <row r="227" spans="1:30" ht="15.6" hidden="1" customHeight="1" x14ac:dyDescent="0.25">
      <c r="A227" s="60" t="s">
        <v>19</v>
      </c>
      <c r="B227" s="60" t="s">
        <v>19</v>
      </c>
      <c r="C227" s="60" t="s">
        <v>23</v>
      </c>
      <c r="D227" s="60" t="s">
        <v>19</v>
      </c>
      <c r="E227" s="60" t="s">
        <v>22</v>
      </c>
      <c r="F227" s="60" t="s">
        <v>19</v>
      </c>
      <c r="G227" s="60" t="s">
        <v>23</v>
      </c>
      <c r="H227" s="60" t="s">
        <v>20</v>
      </c>
      <c r="I227" s="60" t="s">
        <v>25</v>
      </c>
      <c r="J227" s="60" t="s">
        <v>19</v>
      </c>
      <c r="K227" s="60" t="s">
        <v>19</v>
      </c>
      <c r="L227" s="60" t="s">
        <v>21</v>
      </c>
      <c r="M227" s="60" t="s">
        <v>38</v>
      </c>
      <c r="N227" s="60" t="s">
        <v>19</v>
      </c>
      <c r="O227" s="60" t="s">
        <v>25</v>
      </c>
      <c r="P227" s="60" t="s">
        <v>23</v>
      </c>
      <c r="Q227" s="60" t="s">
        <v>47</v>
      </c>
      <c r="R227" s="165"/>
      <c r="S227" s="70" t="s">
        <v>0</v>
      </c>
      <c r="T227" s="1">
        <v>60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66">
        <f t="shared" si="45"/>
        <v>60</v>
      </c>
      <c r="AA227" s="65">
        <v>2018</v>
      </c>
      <c r="AB227" s="9"/>
      <c r="AC227" s="111"/>
      <c r="AD227" s="111"/>
    </row>
    <row r="228" spans="1:30" ht="15.6" hidden="1" customHeight="1" x14ac:dyDescent="0.25">
      <c r="A228" s="60" t="s">
        <v>19</v>
      </c>
      <c r="B228" s="60" t="s">
        <v>19</v>
      </c>
      <c r="C228" s="60" t="s">
        <v>23</v>
      </c>
      <c r="D228" s="60" t="s">
        <v>19</v>
      </c>
      <c r="E228" s="60" t="s">
        <v>22</v>
      </c>
      <c r="F228" s="60" t="s">
        <v>19</v>
      </c>
      <c r="G228" s="60" t="s">
        <v>23</v>
      </c>
      <c r="H228" s="60" t="s">
        <v>20</v>
      </c>
      <c r="I228" s="60" t="s">
        <v>25</v>
      </c>
      <c r="J228" s="60" t="s">
        <v>19</v>
      </c>
      <c r="K228" s="60" t="s">
        <v>19</v>
      </c>
      <c r="L228" s="60" t="s">
        <v>21</v>
      </c>
      <c r="M228" s="60" t="s">
        <v>38</v>
      </c>
      <c r="N228" s="60" t="s">
        <v>19</v>
      </c>
      <c r="O228" s="60" t="s">
        <v>25</v>
      </c>
      <c r="P228" s="60" t="s">
        <v>23</v>
      </c>
      <c r="Q228" s="60" t="s">
        <v>47</v>
      </c>
      <c r="R228" s="165"/>
      <c r="S228" s="70" t="s">
        <v>0</v>
      </c>
      <c r="T228" s="1">
        <v>62.7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66">
        <f t="shared" si="45"/>
        <v>62.7</v>
      </c>
      <c r="AA228" s="65">
        <v>2018</v>
      </c>
      <c r="AB228" s="9"/>
      <c r="AC228" s="111"/>
      <c r="AD228" s="111"/>
    </row>
    <row r="229" spans="1:30" ht="15.6" hidden="1" customHeight="1" x14ac:dyDescent="0.25">
      <c r="A229" s="60" t="s">
        <v>19</v>
      </c>
      <c r="B229" s="60" t="s">
        <v>19</v>
      </c>
      <c r="C229" s="60" t="s">
        <v>23</v>
      </c>
      <c r="D229" s="60" t="s">
        <v>19</v>
      </c>
      <c r="E229" s="60" t="s">
        <v>22</v>
      </c>
      <c r="F229" s="60" t="s">
        <v>19</v>
      </c>
      <c r="G229" s="60" t="s">
        <v>23</v>
      </c>
      <c r="H229" s="60" t="s">
        <v>20</v>
      </c>
      <c r="I229" s="60" t="s">
        <v>25</v>
      </c>
      <c r="J229" s="60" t="s">
        <v>19</v>
      </c>
      <c r="K229" s="60" t="s">
        <v>19</v>
      </c>
      <c r="L229" s="60" t="s">
        <v>21</v>
      </c>
      <c r="M229" s="60" t="s">
        <v>38</v>
      </c>
      <c r="N229" s="60" t="s">
        <v>19</v>
      </c>
      <c r="O229" s="60" t="s">
        <v>25</v>
      </c>
      <c r="P229" s="60" t="s">
        <v>23</v>
      </c>
      <c r="Q229" s="60" t="s">
        <v>40</v>
      </c>
      <c r="R229" s="166"/>
      <c r="S229" s="70" t="s">
        <v>0</v>
      </c>
      <c r="T229" s="1">
        <v>245.4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66">
        <f t="shared" si="45"/>
        <v>245.4</v>
      </c>
      <c r="AA229" s="65">
        <v>2018</v>
      </c>
      <c r="AB229" s="9"/>
      <c r="AC229" s="111"/>
      <c r="AD229" s="111"/>
    </row>
    <row r="230" spans="1:30" ht="46.9" hidden="1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87" t="s">
        <v>224</v>
      </c>
      <c r="S230" s="93" t="s">
        <v>52</v>
      </c>
      <c r="T230" s="47">
        <v>26</v>
      </c>
      <c r="U230" s="47">
        <v>0</v>
      </c>
      <c r="V230" s="47">
        <v>0</v>
      </c>
      <c r="W230" s="47">
        <v>0</v>
      </c>
      <c r="X230" s="47">
        <v>0</v>
      </c>
      <c r="Y230" s="47">
        <v>0</v>
      </c>
      <c r="Z230" s="55">
        <f t="shared" si="45"/>
        <v>26</v>
      </c>
      <c r="AA230" s="44">
        <v>2018</v>
      </c>
      <c r="AB230" s="9"/>
      <c r="AC230" s="111"/>
      <c r="AD230" s="111"/>
    </row>
    <row r="231" spans="1:30" ht="15.6" hidden="1" customHeight="1" x14ac:dyDescent="0.25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164" t="s">
        <v>225</v>
      </c>
      <c r="S231" s="70" t="s">
        <v>0</v>
      </c>
      <c r="T231" s="1">
        <f>SUM(T232:T235)</f>
        <v>194.7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66">
        <f t="shared" si="45"/>
        <v>194.7</v>
      </c>
      <c r="AA231" s="65">
        <v>2018</v>
      </c>
      <c r="AB231" s="9"/>
      <c r="AC231" s="111"/>
      <c r="AD231" s="111"/>
    </row>
    <row r="232" spans="1:30" ht="15.6" hidden="1" customHeight="1" x14ac:dyDescent="0.25">
      <c r="A232" s="60" t="s">
        <v>19</v>
      </c>
      <c r="B232" s="60" t="s">
        <v>19</v>
      </c>
      <c r="C232" s="60" t="s">
        <v>23</v>
      </c>
      <c r="D232" s="60" t="s">
        <v>19</v>
      </c>
      <c r="E232" s="60" t="s">
        <v>22</v>
      </c>
      <c r="F232" s="60" t="s">
        <v>19</v>
      </c>
      <c r="G232" s="60" t="s">
        <v>23</v>
      </c>
      <c r="H232" s="60" t="s">
        <v>20</v>
      </c>
      <c r="I232" s="60" t="s">
        <v>25</v>
      </c>
      <c r="J232" s="60" t="s">
        <v>19</v>
      </c>
      <c r="K232" s="60" t="s">
        <v>19</v>
      </c>
      <c r="L232" s="60" t="s">
        <v>21</v>
      </c>
      <c r="M232" s="60" t="s">
        <v>20</v>
      </c>
      <c r="N232" s="60" t="s">
        <v>19</v>
      </c>
      <c r="O232" s="60" t="s">
        <v>25</v>
      </c>
      <c r="P232" s="60" t="s">
        <v>23</v>
      </c>
      <c r="Q232" s="60" t="s">
        <v>46</v>
      </c>
      <c r="R232" s="165"/>
      <c r="S232" s="70" t="s">
        <v>0</v>
      </c>
      <c r="T232" s="1">
        <v>77.3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66">
        <f t="shared" si="45"/>
        <v>77.3</v>
      </c>
      <c r="AA232" s="65">
        <v>2018</v>
      </c>
      <c r="AB232" s="9"/>
      <c r="AC232" s="111"/>
      <c r="AD232" s="111"/>
    </row>
    <row r="233" spans="1:30" ht="15.6" hidden="1" customHeight="1" x14ac:dyDescent="0.25">
      <c r="A233" s="60" t="s">
        <v>19</v>
      </c>
      <c r="B233" s="60" t="s">
        <v>19</v>
      </c>
      <c r="C233" s="60" t="s">
        <v>23</v>
      </c>
      <c r="D233" s="60" t="s">
        <v>19</v>
      </c>
      <c r="E233" s="60" t="s">
        <v>22</v>
      </c>
      <c r="F233" s="60" t="s">
        <v>19</v>
      </c>
      <c r="G233" s="60" t="s">
        <v>23</v>
      </c>
      <c r="H233" s="60" t="s">
        <v>20</v>
      </c>
      <c r="I233" s="60" t="s">
        <v>25</v>
      </c>
      <c r="J233" s="60" t="s">
        <v>19</v>
      </c>
      <c r="K233" s="60" t="s">
        <v>19</v>
      </c>
      <c r="L233" s="60" t="s">
        <v>21</v>
      </c>
      <c r="M233" s="60" t="s">
        <v>38</v>
      </c>
      <c r="N233" s="60" t="s">
        <v>19</v>
      </c>
      <c r="O233" s="60" t="s">
        <v>25</v>
      </c>
      <c r="P233" s="60" t="s">
        <v>23</v>
      </c>
      <c r="Q233" s="60" t="s">
        <v>47</v>
      </c>
      <c r="R233" s="165"/>
      <c r="S233" s="70" t="s">
        <v>0</v>
      </c>
      <c r="T233" s="1">
        <v>20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66">
        <f t="shared" si="45"/>
        <v>20</v>
      </c>
      <c r="AA233" s="65">
        <v>2018</v>
      </c>
      <c r="AB233" s="9"/>
      <c r="AC233" s="111"/>
      <c r="AD233" s="111"/>
    </row>
    <row r="234" spans="1:30" ht="15.6" hidden="1" customHeight="1" x14ac:dyDescent="0.25">
      <c r="A234" s="60" t="s">
        <v>19</v>
      </c>
      <c r="B234" s="60" t="s">
        <v>19</v>
      </c>
      <c r="C234" s="60" t="s">
        <v>23</v>
      </c>
      <c r="D234" s="60" t="s">
        <v>19</v>
      </c>
      <c r="E234" s="60" t="s">
        <v>22</v>
      </c>
      <c r="F234" s="60" t="s">
        <v>19</v>
      </c>
      <c r="G234" s="60" t="s">
        <v>23</v>
      </c>
      <c r="H234" s="60" t="s">
        <v>20</v>
      </c>
      <c r="I234" s="60" t="s">
        <v>25</v>
      </c>
      <c r="J234" s="60" t="s">
        <v>19</v>
      </c>
      <c r="K234" s="60" t="s">
        <v>19</v>
      </c>
      <c r="L234" s="60" t="s">
        <v>21</v>
      </c>
      <c r="M234" s="60" t="s">
        <v>38</v>
      </c>
      <c r="N234" s="60" t="s">
        <v>19</v>
      </c>
      <c r="O234" s="60" t="s">
        <v>25</v>
      </c>
      <c r="P234" s="60" t="s">
        <v>23</v>
      </c>
      <c r="Q234" s="60" t="s">
        <v>47</v>
      </c>
      <c r="R234" s="165"/>
      <c r="S234" s="70" t="s">
        <v>0</v>
      </c>
      <c r="T234" s="1">
        <v>19.5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66">
        <f t="shared" si="45"/>
        <v>19.5</v>
      </c>
      <c r="AA234" s="65">
        <v>2018</v>
      </c>
      <c r="AB234" s="9"/>
      <c r="AC234" s="111"/>
      <c r="AD234" s="111"/>
    </row>
    <row r="235" spans="1:30" ht="15.6" hidden="1" customHeight="1" x14ac:dyDescent="0.25">
      <c r="A235" s="60" t="s">
        <v>19</v>
      </c>
      <c r="B235" s="60" t="s">
        <v>19</v>
      </c>
      <c r="C235" s="60" t="s">
        <v>23</v>
      </c>
      <c r="D235" s="60" t="s">
        <v>19</v>
      </c>
      <c r="E235" s="60" t="s">
        <v>22</v>
      </c>
      <c r="F235" s="60" t="s">
        <v>19</v>
      </c>
      <c r="G235" s="60" t="s">
        <v>23</v>
      </c>
      <c r="H235" s="60" t="s">
        <v>20</v>
      </c>
      <c r="I235" s="60" t="s">
        <v>25</v>
      </c>
      <c r="J235" s="60" t="s">
        <v>19</v>
      </c>
      <c r="K235" s="60" t="s">
        <v>19</v>
      </c>
      <c r="L235" s="60" t="s">
        <v>21</v>
      </c>
      <c r="M235" s="60" t="s">
        <v>38</v>
      </c>
      <c r="N235" s="60" t="s">
        <v>19</v>
      </c>
      <c r="O235" s="60" t="s">
        <v>25</v>
      </c>
      <c r="P235" s="60" t="s">
        <v>23</v>
      </c>
      <c r="Q235" s="60" t="s">
        <v>40</v>
      </c>
      <c r="R235" s="166"/>
      <c r="S235" s="70" t="s">
        <v>0</v>
      </c>
      <c r="T235" s="1">
        <v>77.900000000000006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66">
        <f t="shared" si="45"/>
        <v>77.900000000000006</v>
      </c>
      <c r="AA235" s="65">
        <v>2018</v>
      </c>
      <c r="AB235" s="9"/>
      <c r="AC235" s="111"/>
      <c r="AD235" s="111"/>
    </row>
    <row r="236" spans="1:30" s="79" customFormat="1" ht="31.15" hidden="1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87" t="s">
        <v>226</v>
      </c>
      <c r="S236" s="58" t="s">
        <v>52</v>
      </c>
      <c r="T236" s="47">
        <v>1</v>
      </c>
      <c r="U236" s="47">
        <v>0</v>
      </c>
      <c r="V236" s="47">
        <v>0</v>
      </c>
      <c r="W236" s="47">
        <v>0</v>
      </c>
      <c r="X236" s="47">
        <v>0</v>
      </c>
      <c r="Y236" s="47">
        <v>0</v>
      </c>
      <c r="Z236" s="55">
        <f t="shared" si="45"/>
        <v>1</v>
      </c>
      <c r="AA236" s="44">
        <v>2018</v>
      </c>
      <c r="AB236" s="77"/>
      <c r="AC236" s="94"/>
      <c r="AD236" s="94"/>
    </row>
    <row r="237" spans="1:30" ht="31.15" hidden="1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87" t="s">
        <v>227</v>
      </c>
      <c r="S237" s="93" t="s">
        <v>194</v>
      </c>
      <c r="T237" s="3">
        <v>15</v>
      </c>
      <c r="U237" s="3">
        <v>0</v>
      </c>
      <c r="V237" s="3">
        <v>0</v>
      </c>
      <c r="W237" s="3">
        <v>0</v>
      </c>
      <c r="X237" s="3">
        <v>0</v>
      </c>
      <c r="Y237" s="3">
        <v>0</v>
      </c>
      <c r="Z237" s="6">
        <f t="shared" si="45"/>
        <v>15</v>
      </c>
      <c r="AA237" s="44">
        <v>2018</v>
      </c>
      <c r="AB237" s="9"/>
      <c r="AC237" s="111"/>
      <c r="AD237" s="111"/>
    </row>
    <row r="238" spans="1:30" ht="15.6" hidden="1" customHeight="1" x14ac:dyDescent="0.25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164" t="s">
        <v>228</v>
      </c>
      <c r="S238" s="70" t="s">
        <v>0</v>
      </c>
      <c r="T238" s="1">
        <f>SUM(T239:T242)</f>
        <v>119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66">
        <f t="shared" si="45"/>
        <v>119</v>
      </c>
      <c r="AA238" s="65">
        <v>2018</v>
      </c>
      <c r="AB238" s="9"/>
      <c r="AC238" s="111"/>
      <c r="AD238" s="111"/>
    </row>
    <row r="239" spans="1:30" ht="15.6" hidden="1" customHeight="1" x14ac:dyDescent="0.25">
      <c r="A239" s="60" t="s">
        <v>19</v>
      </c>
      <c r="B239" s="60" t="s">
        <v>19</v>
      </c>
      <c r="C239" s="60" t="s">
        <v>23</v>
      </c>
      <c r="D239" s="60" t="s">
        <v>19</v>
      </c>
      <c r="E239" s="60" t="s">
        <v>25</v>
      </c>
      <c r="F239" s="60" t="s">
        <v>19</v>
      </c>
      <c r="G239" s="60" t="s">
        <v>44</v>
      </c>
      <c r="H239" s="60" t="s">
        <v>20</v>
      </c>
      <c r="I239" s="60" t="s">
        <v>25</v>
      </c>
      <c r="J239" s="60" t="s">
        <v>19</v>
      </c>
      <c r="K239" s="60" t="s">
        <v>19</v>
      </c>
      <c r="L239" s="60" t="s">
        <v>21</v>
      </c>
      <c r="M239" s="60" t="s">
        <v>20</v>
      </c>
      <c r="N239" s="60" t="s">
        <v>19</v>
      </c>
      <c r="O239" s="60" t="s">
        <v>25</v>
      </c>
      <c r="P239" s="60" t="s">
        <v>23</v>
      </c>
      <c r="Q239" s="60" t="s">
        <v>46</v>
      </c>
      <c r="R239" s="165"/>
      <c r="S239" s="70" t="s">
        <v>0</v>
      </c>
      <c r="T239" s="1">
        <v>47.6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66">
        <f t="shared" si="45"/>
        <v>47.6</v>
      </c>
      <c r="AA239" s="65">
        <v>2018</v>
      </c>
      <c r="AB239" s="9"/>
      <c r="AC239" s="111"/>
      <c r="AD239" s="111"/>
    </row>
    <row r="240" spans="1:30" ht="15.6" hidden="1" customHeight="1" x14ac:dyDescent="0.25">
      <c r="A240" s="60" t="s">
        <v>19</v>
      </c>
      <c r="B240" s="60" t="s">
        <v>19</v>
      </c>
      <c r="C240" s="60" t="s">
        <v>23</v>
      </c>
      <c r="D240" s="60" t="s">
        <v>19</v>
      </c>
      <c r="E240" s="60" t="s">
        <v>25</v>
      </c>
      <c r="F240" s="60" t="s">
        <v>19</v>
      </c>
      <c r="G240" s="60" t="s">
        <v>44</v>
      </c>
      <c r="H240" s="60" t="s">
        <v>20</v>
      </c>
      <c r="I240" s="60" t="s">
        <v>25</v>
      </c>
      <c r="J240" s="60" t="s">
        <v>19</v>
      </c>
      <c r="K240" s="60" t="s">
        <v>19</v>
      </c>
      <c r="L240" s="60" t="s">
        <v>21</v>
      </c>
      <c r="M240" s="60" t="s">
        <v>38</v>
      </c>
      <c r="N240" s="60" t="s">
        <v>19</v>
      </c>
      <c r="O240" s="60" t="s">
        <v>25</v>
      </c>
      <c r="P240" s="60" t="s">
        <v>23</v>
      </c>
      <c r="Q240" s="60" t="s">
        <v>47</v>
      </c>
      <c r="R240" s="165"/>
      <c r="S240" s="70" t="s">
        <v>0</v>
      </c>
      <c r="T240" s="1">
        <v>11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66">
        <f t="shared" si="45"/>
        <v>11</v>
      </c>
      <c r="AA240" s="65">
        <v>2018</v>
      </c>
      <c r="AB240" s="9"/>
      <c r="AC240" s="111"/>
      <c r="AD240" s="111"/>
    </row>
    <row r="241" spans="1:30" ht="15.6" hidden="1" customHeight="1" x14ac:dyDescent="0.25">
      <c r="A241" s="60" t="s">
        <v>19</v>
      </c>
      <c r="B241" s="60" t="s">
        <v>19</v>
      </c>
      <c r="C241" s="60" t="s">
        <v>23</v>
      </c>
      <c r="D241" s="60" t="s">
        <v>19</v>
      </c>
      <c r="E241" s="60" t="s">
        <v>25</v>
      </c>
      <c r="F241" s="60" t="s">
        <v>19</v>
      </c>
      <c r="G241" s="60" t="s">
        <v>44</v>
      </c>
      <c r="H241" s="60" t="s">
        <v>20</v>
      </c>
      <c r="I241" s="60" t="s">
        <v>25</v>
      </c>
      <c r="J241" s="60" t="s">
        <v>19</v>
      </c>
      <c r="K241" s="60" t="s">
        <v>19</v>
      </c>
      <c r="L241" s="60" t="s">
        <v>21</v>
      </c>
      <c r="M241" s="60" t="s">
        <v>38</v>
      </c>
      <c r="N241" s="60" t="s">
        <v>19</v>
      </c>
      <c r="O241" s="60" t="s">
        <v>25</v>
      </c>
      <c r="P241" s="60" t="s">
        <v>23</v>
      </c>
      <c r="Q241" s="60" t="s">
        <v>47</v>
      </c>
      <c r="R241" s="165"/>
      <c r="S241" s="70" t="s">
        <v>0</v>
      </c>
      <c r="T241" s="1">
        <v>12.8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66">
        <f t="shared" si="45"/>
        <v>12.8</v>
      </c>
      <c r="AA241" s="65">
        <v>2018</v>
      </c>
      <c r="AB241" s="9"/>
      <c r="AC241" s="111"/>
      <c r="AD241" s="111"/>
    </row>
    <row r="242" spans="1:30" ht="15.6" hidden="1" customHeight="1" x14ac:dyDescent="0.25">
      <c r="A242" s="60" t="s">
        <v>19</v>
      </c>
      <c r="B242" s="60" t="s">
        <v>19</v>
      </c>
      <c r="C242" s="60" t="s">
        <v>23</v>
      </c>
      <c r="D242" s="60" t="s">
        <v>19</v>
      </c>
      <c r="E242" s="60" t="s">
        <v>25</v>
      </c>
      <c r="F242" s="60" t="s">
        <v>19</v>
      </c>
      <c r="G242" s="60" t="s">
        <v>44</v>
      </c>
      <c r="H242" s="60" t="s">
        <v>20</v>
      </c>
      <c r="I242" s="60" t="s">
        <v>25</v>
      </c>
      <c r="J242" s="60" t="s">
        <v>19</v>
      </c>
      <c r="K242" s="60" t="s">
        <v>19</v>
      </c>
      <c r="L242" s="60" t="s">
        <v>21</v>
      </c>
      <c r="M242" s="60" t="s">
        <v>38</v>
      </c>
      <c r="N242" s="60" t="s">
        <v>19</v>
      </c>
      <c r="O242" s="60" t="s">
        <v>25</v>
      </c>
      <c r="P242" s="60" t="s">
        <v>23</v>
      </c>
      <c r="Q242" s="60" t="s">
        <v>40</v>
      </c>
      <c r="R242" s="166"/>
      <c r="S242" s="70" t="s">
        <v>0</v>
      </c>
      <c r="T242" s="1">
        <v>47.6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66">
        <f t="shared" si="45"/>
        <v>47.6</v>
      </c>
      <c r="AA242" s="65">
        <v>2018</v>
      </c>
      <c r="AB242" s="9"/>
      <c r="AC242" s="111"/>
      <c r="AD242" s="111"/>
    </row>
    <row r="243" spans="1:30" s="79" customFormat="1" ht="46.9" hidden="1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85" t="s">
        <v>229</v>
      </c>
      <c r="S243" s="98" t="s">
        <v>193</v>
      </c>
      <c r="T243" s="3">
        <v>65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55">
        <f t="shared" si="45"/>
        <v>65</v>
      </c>
      <c r="AA243" s="44">
        <v>2018</v>
      </c>
      <c r="AB243" s="77"/>
      <c r="AC243" s="94"/>
      <c r="AD243" s="94"/>
    </row>
    <row r="244" spans="1:30" x14ac:dyDescent="0.25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164" t="s">
        <v>149</v>
      </c>
      <c r="S244" s="70" t="s">
        <v>0</v>
      </c>
      <c r="T244" s="1">
        <f>SUM(T245:T248)</f>
        <v>3440.1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66">
        <f t="shared" si="45"/>
        <v>3440.1</v>
      </c>
      <c r="AA244" s="65">
        <v>2018</v>
      </c>
      <c r="AB244" s="135"/>
      <c r="AC244" s="111"/>
      <c r="AD244" s="111"/>
    </row>
    <row r="245" spans="1:30" x14ac:dyDescent="0.25">
      <c r="A245" s="60" t="s">
        <v>19</v>
      </c>
      <c r="B245" s="60" t="s">
        <v>19</v>
      </c>
      <c r="C245" s="60" t="s">
        <v>25</v>
      </c>
      <c r="D245" s="60" t="s">
        <v>19</v>
      </c>
      <c r="E245" s="60" t="s">
        <v>19</v>
      </c>
      <c r="F245" s="60" t="s">
        <v>19</v>
      </c>
      <c r="G245" s="60" t="s">
        <v>19</v>
      </c>
      <c r="H245" s="60" t="s">
        <v>20</v>
      </c>
      <c r="I245" s="60" t="s">
        <v>25</v>
      </c>
      <c r="J245" s="60" t="s">
        <v>19</v>
      </c>
      <c r="K245" s="60" t="s">
        <v>19</v>
      </c>
      <c r="L245" s="60" t="s">
        <v>21</v>
      </c>
      <c r="M245" s="60" t="s">
        <v>20</v>
      </c>
      <c r="N245" s="60" t="s">
        <v>19</v>
      </c>
      <c r="O245" s="60" t="s">
        <v>25</v>
      </c>
      <c r="P245" s="60" t="s">
        <v>23</v>
      </c>
      <c r="Q245" s="60" t="s">
        <v>46</v>
      </c>
      <c r="R245" s="165"/>
      <c r="S245" s="70" t="s">
        <v>0</v>
      </c>
      <c r="T245" s="1">
        <f>T252+T258+T263+T268+T273+T278</f>
        <v>1609.7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66">
        <f t="shared" si="45"/>
        <v>1609.7</v>
      </c>
      <c r="AA245" s="65">
        <v>2018</v>
      </c>
      <c r="AB245" s="135"/>
      <c r="AC245" s="111"/>
      <c r="AD245" s="111"/>
    </row>
    <row r="246" spans="1:30" hidden="1" x14ac:dyDescent="0.25">
      <c r="A246" s="60" t="s">
        <v>19</v>
      </c>
      <c r="B246" s="60" t="s">
        <v>19</v>
      </c>
      <c r="C246" s="60" t="s">
        <v>25</v>
      </c>
      <c r="D246" s="60" t="s">
        <v>19</v>
      </c>
      <c r="E246" s="60" t="s">
        <v>19</v>
      </c>
      <c r="F246" s="60" t="s">
        <v>19</v>
      </c>
      <c r="G246" s="60" t="s">
        <v>19</v>
      </c>
      <c r="H246" s="60" t="s">
        <v>20</v>
      </c>
      <c r="I246" s="60" t="s">
        <v>25</v>
      </c>
      <c r="J246" s="60" t="s">
        <v>19</v>
      </c>
      <c r="K246" s="60" t="s">
        <v>19</v>
      </c>
      <c r="L246" s="60" t="s">
        <v>21</v>
      </c>
      <c r="M246" s="60" t="s">
        <v>38</v>
      </c>
      <c r="N246" s="60" t="s">
        <v>19</v>
      </c>
      <c r="O246" s="60" t="s">
        <v>44</v>
      </c>
      <c r="P246" s="60" t="s">
        <v>23</v>
      </c>
      <c r="Q246" s="60" t="s">
        <v>196</v>
      </c>
      <c r="R246" s="165"/>
      <c r="S246" s="70" t="s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66">
        <f t="shared" si="45"/>
        <v>0</v>
      </c>
      <c r="AA246" s="65">
        <v>2018</v>
      </c>
      <c r="AB246" s="135"/>
      <c r="AC246" s="111"/>
      <c r="AD246" s="111"/>
    </row>
    <row r="247" spans="1:30" x14ac:dyDescent="0.25">
      <c r="A247" s="60" t="s">
        <v>19</v>
      </c>
      <c r="B247" s="60" t="s">
        <v>19</v>
      </c>
      <c r="C247" s="60" t="s">
        <v>25</v>
      </c>
      <c r="D247" s="60" t="s">
        <v>19</v>
      </c>
      <c r="E247" s="60" t="s">
        <v>19</v>
      </c>
      <c r="F247" s="60" t="s">
        <v>19</v>
      </c>
      <c r="G247" s="60" t="s">
        <v>19</v>
      </c>
      <c r="H247" s="60" t="s">
        <v>20</v>
      </c>
      <c r="I247" s="60" t="s">
        <v>25</v>
      </c>
      <c r="J247" s="60" t="s">
        <v>19</v>
      </c>
      <c r="K247" s="60" t="s">
        <v>19</v>
      </c>
      <c r="L247" s="60" t="s">
        <v>21</v>
      </c>
      <c r="M247" s="60" t="s">
        <v>38</v>
      </c>
      <c r="N247" s="60" t="s">
        <v>19</v>
      </c>
      <c r="O247" s="60" t="s">
        <v>25</v>
      </c>
      <c r="P247" s="60" t="s">
        <v>23</v>
      </c>
      <c r="Q247" s="60" t="s">
        <v>47</v>
      </c>
      <c r="R247" s="165"/>
      <c r="S247" s="70" t="s">
        <v>0</v>
      </c>
      <c r="T247" s="1">
        <f>T254+T259+T264+T269+T274+T279</f>
        <v>441.79999999999995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66">
        <f t="shared" si="45"/>
        <v>441.79999999999995</v>
      </c>
      <c r="AA247" s="65">
        <v>2018</v>
      </c>
      <c r="AB247" s="135"/>
      <c r="AC247" s="111"/>
      <c r="AD247" s="111"/>
    </row>
    <row r="248" spans="1:30" x14ac:dyDescent="0.25">
      <c r="A248" s="60" t="s">
        <v>19</v>
      </c>
      <c r="B248" s="60" t="s">
        <v>19</v>
      </c>
      <c r="C248" s="60" t="s">
        <v>25</v>
      </c>
      <c r="D248" s="60" t="s">
        <v>19</v>
      </c>
      <c r="E248" s="60" t="s">
        <v>19</v>
      </c>
      <c r="F248" s="60" t="s">
        <v>19</v>
      </c>
      <c r="G248" s="60" t="s">
        <v>19</v>
      </c>
      <c r="H248" s="60" t="s">
        <v>20</v>
      </c>
      <c r="I248" s="60" t="s">
        <v>25</v>
      </c>
      <c r="J248" s="60" t="s">
        <v>19</v>
      </c>
      <c r="K248" s="60" t="s">
        <v>19</v>
      </c>
      <c r="L248" s="60" t="s">
        <v>21</v>
      </c>
      <c r="M248" s="60" t="s">
        <v>38</v>
      </c>
      <c r="N248" s="60" t="s">
        <v>19</v>
      </c>
      <c r="O248" s="60" t="s">
        <v>25</v>
      </c>
      <c r="P248" s="60" t="s">
        <v>23</v>
      </c>
      <c r="Q248" s="60" t="s">
        <v>40</v>
      </c>
      <c r="R248" s="166"/>
      <c r="S248" s="70" t="s">
        <v>0</v>
      </c>
      <c r="T248" s="1">
        <v>1388.6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66">
        <f t="shared" si="45"/>
        <v>1388.6</v>
      </c>
      <c r="AA248" s="65">
        <v>2018</v>
      </c>
      <c r="AB248" s="135"/>
      <c r="AC248" s="111"/>
      <c r="AD248" s="111"/>
    </row>
    <row r="249" spans="1:30" ht="47.25" x14ac:dyDescent="0.25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87" t="s">
        <v>207</v>
      </c>
      <c r="S249" s="69" t="s">
        <v>56</v>
      </c>
      <c r="T249" s="3">
        <v>0.2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6">
        <f t="shared" si="45"/>
        <v>0.2</v>
      </c>
      <c r="AA249" s="44">
        <v>2018</v>
      </c>
      <c r="AB249" s="139"/>
      <c r="AC249" s="111"/>
      <c r="AD249" s="111"/>
    </row>
    <row r="250" spans="1:30" ht="47.25" x14ac:dyDescent="0.25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87" t="s">
        <v>208</v>
      </c>
      <c r="S250" s="93" t="s">
        <v>52</v>
      </c>
      <c r="T250" s="47">
        <v>6</v>
      </c>
      <c r="U250" s="47">
        <v>0</v>
      </c>
      <c r="V250" s="47">
        <v>0</v>
      </c>
      <c r="W250" s="47">
        <v>0</v>
      </c>
      <c r="X250" s="47">
        <v>0</v>
      </c>
      <c r="Y250" s="47">
        <v>0</v>
      </c>
      <c r="Z250" s="55">
        <f t="shared" si="45"/>
        <v>6</v>
      </c>
      <c r="AA250" s="44">
        <v>2018</v>
      </c>
      <c r="AB250" s="139"/>
      <c r="AC250" s="111"/>
      <c r="AD250" s="111"/>
    </row>
    <row r="251" spans="1:30" ht="16.350000000000001" hidden="1" customHeight="1" x14ac:dyDescent="0.25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164" t="s">
        <v>230</v>
      </c>
      <c r="S251" s="70" t="s">
        <v>0</v>
      </c>
      <c r="T251" s="1">
        <f>SUM(T252:T255)</f>
        <v>943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66">
        <f t="shared" si="45"/>
        <v>943</v>
      </c>
      <c r="AA251" s="65">
        <v>2018</v>
      </c>
      <c r="AB251" s="9"/>
      <c r="AC251" s="111"/>
      <c r="AD251" s="111"/>
    </row>
    <row r="252" spans="1:30" ht="16.350000000000001" hidden="1" customHeight="1" x14ac:dyDescent="0.25">
      <c r="A252" s="60" t="s">
        <v>19</v>
      </c>
      <c r="B252" s="60" t="s">
        <v>19</v>
      </c>
      <c r="C252" s="60" t="s">
        <v>25</v>
      </c>
      <c r="D252" s="60" t="s">
        <v>19</v>
      </c>
      <c r="E252" s="60" t="s">
        <v>25</v>
      </c>
      <c r="F252" s="60" t="s">
        <v>19</v>
      </c>
      <c r="G252" s="60" t="s">
        <v>44</v>
      </c>
      <c r="H252" s="60" t="s">
        <v>20</v>
      </c>
      <c r="I252" s="60" t="s">
        <v>25</v>
      </c>
      <c r="J252" s="60" t="s">
        <v>19</v>
      </c>
      <c r="K252" s="60" t="s">
        <v>19</v>
      </c>
      <c r="L252" s="60" t="s">
        <v>21</v>
      </c>
      <c r="M252" s="60" t="s">
        <v>20</v>
      </c>
      <c r="N252" s="60" t="s">
        <v>19</v>
      </c>
      <c r="O252" s="60" t="s">
        <v>25</v>
      </c>
      <c r="P252" s="60" t="s">
        <v>23</v>
      </c>
      <c r="Q252" s="60" t="s">
        <v>46</v>
      </c>
      <c r="R252" s="165"/>
      <c r="S252" s="70" t="s">
        <v>0</v>
      </c>
      <c r="T252" s="1">
        <v>377.2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66">
        <f t="shared" si="45"/>
        <v>377.2</v>
      </c>
      <c r="AA252" s="65">
        <v>2018</v>
      </c>
      <c r="AB252" s="9"/>
      <c r="AC252" s="111"/>
      <c r="AD252" s="111"/>
    </row>
    <row r="253" spans="1:30" ht="16.350000000000001" hidden="1" customHeight="1" x14ac:dyDescent="0.25">
      <c r="A253" s="60" t="s">
        <v>19</v>
      </c>
      <c r="B253" s="60" t="s">
        <v>19</v>
      </c>
      <c r="C253" s="60" t="s">
        <v>25</v>
      </c>
      <c r="D253" s="60" t="s">
        <v>19</v>
      </c>
      <c r="E253" s="60" t="s">
        <v>25</v>
      </c>
      <c r="F253" s="60" t="s">
        <v>19</v>
      </c>
      <c r="G253" s="60" t="s">
        <v>44</v>
      </c>
      <c r="H253" s="60" t="s">
        <v>20</v>
      </c>
      <c r="I253" s="60" t="s">
        <v>25</v>
      </c>
      <c r="J253" s="60" t="s">
        <v>19</v>
      </c>
      <c r="K253" s="60" t="s">
        <v>19</v>
      </c>
      <c r="L253" s="60" t="s">
        <v>21</v>
      </c>
      <c r="M253" s="60" t="s">
        <v>38</v>
      </c>
      <c r="N253" s="60" t="s">
        <v>19</v>
      </c>
      <c r="O253" s="60" t="s">
        <v>44</v>
      </c>
      <c r="P253" s="60" t="s">
        <v>23</v>
      </c>
      <c r="Q253" s="60" t="s">
        <v>196</v>
      </c>
      <c r="R253" s="165"/>
      <c r="S253" s="70" t="s">
        <v>0</v>
      </c>
      <c r="T253" s="1">
        <v>30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66">
        <f t="shared" si="45"/>
        <v>30</v>
      </c>
      <c r="AA253" s="65">
        <v>2018</v>
      </c>
      <c r="AB253" s="9"/>
      <c r="AC253" s="111"/>
      <c r="AD253" s="111"/>
    </row>
    <row r="254" spans="1:30" ht="16.350000000000001" hidden="1" customHeight="1" x14ac:dyDescent="0.25">
      <c r="A254" s="60" t="s">
        <v>19</v>
      </c>
      <c r="B254" s="60" t="s">
        <v>19</v>
      </c>
      <c r="C254" s="60" t="s">
        <v>25</v>
      </c>
      <c r="D254" s="60" t="s">
        <v>19</v>
      </c>
      <c r="E254" s="60" t="s">
        <v>25</v>
      </c>
      <c r="F254" s="60" t="s">
        <v>19</v>
      </c>
      <c r="G254" s="60" t="s">
        <v>44</v>
      </c>
      <c r="H254" s="60" t="s">
        <v>20</v>
      </c>
      <c r="I254" s="60" t="s">
        <v>25</v>
      </c>
      <c r="J254" s="60" t="s">
        <v>19</v>
      </c>
      <c r="K254" s="60" t="s">
        <v>19</v>
      </c>
      <c r="L254" s="60" t="s">
        <v>21</v>
      </c>
      <c r="M254" s="60" t="s">
        <v>38</v>
      </c>
      <c r="N254" s="60" t="s">
        <v>19</v>
      </c>
      <c r="O254" s="60" t="s">
        <v>25</v>
      </c>
      <c r="P254" s="60" t="s">
        <v>23</v>
      </c>
      <c r="Q254" s="60" t="s">
        <v>47</v>
      </c>
      <c r="R254" s="165"/>
      <c r="S254" s="70" t="s">
        <v>0</v>
      </c>
      <c r="T254" s="1">
        <v>113.2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66">
        <f t="shared" si="45"/>
        <v>113.2</v>
      </c>
      <c r="AA254" s="65">
        <v>2018</v>
      </c>
      <c r="AB254" s="9"/>
      <c r="AC254" s="111"/>
      <c r="AD254" s="111"/>
    </row>
    <row r="255" spans="1:30" ht="16.350000000000001" hidden="1" customHeight="1" x14ac:dyDescent="0.25">
      <c r="A255" s="60" t="s">
        <v>19</v>
      </c>
      <c r="B255" s="60" t="s">
        <v>19</v>
      </c>
      <c r="C255" s="60" t="s">
        <v>25</v>
      </c>
      <c r="D255" s="60" t="s">
        <v>19</v>
      </c>
      <c r="E255" s="60" t="s">
        <v>25</v>
      </c>
      <c r="F255" s="60" t="s">
        <v>19</v>
      </c>
      <c r="G255" s="60" t="s">
        <v>44</v>
      </c>
      <c r="H255" s="60" t="s">
        <v>20</v>
      </c>
      <c r="I255" s="60" t="s">
        <v>25</v>
      </c>
      <c r="J255" s="60" t="s">
        <v>19</v>
      </c>
      <c r="K255" s="60" t="s">
        <v>19</v>
      </c>
      <c r="L255" s="60" t="s">
        <v>21</v>
      </c>
      <c r="M255" s="60" t="s">
        <v>38</v>
      </c>
      <c r="N255" s="60" t="s">
        <v>19</v>
      </c>
      <c r="O255" s="60" t="s">
        <v>25</v>
      </c>
      <c r="P255" s="60" t="s">
        <v>23</v>
      </c>
      <c r="Q255" s="60" t="s">
        <v>40</v>
      </c>
      <c r="R255" s="166"/>
      <c r="S255" s="70" t="s">
        <v>0</v>
      </c>
      <c r="T255" s="1">
        <v>422.6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66">
        <f t="shared" si="45"/>
        <v>422.6</v>
      </c>
      <c r="AA255" s="65">
        <v>2018</v>
      </c>
      <c r="AB255" s="9"/>
      <c r="AC255" s="111"/>
      <c r="AD255" s="111"/>
    </row>
    <row r="256" spans="1:30" ht="33.6" hidden="1" customHeight="1" x14ac:dyDescent="0.25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97" t="s">
        <v>231</v>
      </c>
      <c r="S256" s="93" t="s">
        <v>193</v>
      </c>
      <c r="T256" s="3">
        <v>1046</v>
      </c>
      <c r="U256" s="3">
        <v>0</v>
      </c>
      <c r="V256" s="3">
        <v>0</v>
      </c>
      <c r="W256" s="3">
        <v>0</v>
      </c>
      <c r="X256" s="3">
        <v>0</v>
      </c>
      <c r="Y256" s="3">
        <v>0</v>
      </c>
      <c r="Z256" s="6">
        <f t="shared" si="45"/>
        <v>1046</v>
      </c>
      <c r="AA256" s="44">
        <v>2018</v>
      </c>
      <c r="AB256" s="9"/>
      <c r="AC256" s="111"/>
      <c r="AD256" s="111"/>
    </row>
    <row r="257" spans="1:30" ht="21.75" hidden="1" customHeight="1" x14ac:dyDescent="0.25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164" t="s">
        <v>232</v>
      </c>
      <c r="S257" s="70" t="s">
        <v>0</v>
      </c>
      <c r="T257" s="1">
        <f>SUM(T258:T260)</f>
        <v>835.4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66">
        <f>SUM(T257:Y257)</f>
        <v>835.4</v>
      </c>
      <c r="AA257" s="65">
        <v>2018</v>
      </c>
      <c r="AB257" s="9"/>
      <c r="AC257" s="111"/>
      <c r="AD257" s="111"/>
    </row>
    <row r="258" spans="1:30" ht="22.9" hidden="1" customHeight="1" x14ac:dyDescent="0.25">
      <c r="A258" s="60" t="s">
        <v>19</v>
      </c>
      <c r="B258" s="60" t="s">
        <v>19</v>
      </c>
      <c r="C258" s="60" t="s">
        <v>25</v>
      </c>
      <c r="D258" s="60" t="s">
        <v>19</v>
      </c>
      <c r="E258" s="60" t="s">
        <v>22</v>
      </c>
      <c r="F258" s="60" t="s">
        <v>19</v>
      </c>
      <c r="G258" s="60" t="s">
        <v>23</v>
      </c>
      <c r="H258" s="60" t="s">
        <v>20</v>
      </c>
      <c r="I258" s="60" t="s">
        <v>25</v>
      </c>
      <c r="J258" s="60" t="s">
        <v>19</v>
      </c>
      <c r="K258" s="60" t="s">
        <v>19</v>
      </c>
      <c r="L258" s="60" t="s">
        <v>21</v>
      </c>
      <c r="M258" s="60" t="s">
        <v>20</v>
      </c>
      <c r="N258" s="60" t="s">
        <v>19</v>
      </c>
      <c r="O258" s="60" t="s">
        <v>25</v>
      </c>
      <c r="P258" s="60" t="s">
        <v>23</v>
      </c>
      <c r="Q258" s="60" t="s">
        <v>46</v>
      </c>
      <c r="R258" s="165"/>
      <c r="S258" s="70" t="s">
        <v>0</v>
      </c>
      <c r="T258" s="1">
        <v>334.2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66">
        <f>SUM(T258:Y258)</f>
        <v>334.2</v>
      </c>
      <c r="AA258" s="65">
        <v>2018</v>
      </c>
      <c r="AB258" s="9"/>
      <c r="AC258" s="111"/>
      <c r="AD258" s="111"/>
    </row>
    <row r="259" spans="1:30" ht="22.15" hidden="1" customHeight="1" x14ac:dyDescent="0.25">
      <c r="A259" s="60" t="s">
        <v>19</v>
      </c>
      <c r="B259" s="60" t="s">
        <v>19</v>
      </c>
      <c r="C259" s="60" t="s">
        <v>25</v>
      </c>
      <c r="D259" s="60" t="s">
        <v>19</v>
      </c>
      <c r="E259" s="60" t="s">
        <v>22</v>
      </c>
      <c r="F259" s="60" t="s">
        <v>19</v>
      </c>
      <c r="G259" s="60" t="s">
        <v>23</v>
      </c>
      <c r="H259" s="60" t="s">
        <v>20</v>
      </c>
      <c r="I259" s="60" t="s">
        <v>25</v>
      </c>
      <c r="J259" s="60" t="s">
        <v>19</v>
      </c>
      <c r="K259" s="60" t="s">
        <v>19</v>
      </c>
      <c r="L259" s="60" t="s">
        <v>21</v>
      </c>
      <c r="M259" s="60" t="s">
        <v>38</v>
      </c>
      <c r="N259" s="60" t="s">
        <v>19</v>
      </c>
      <c r="O259" s="60" t="s">
        <v>25</v>
      </c>
      <c r="P259" s="60" t="s">
        <v>23</v>
      </c>
      <c r="Q259" s="60" t="s">
        <v>47</v>
      </c>
      <c r="R259" s="165"/>
      <c r="S259" s="70" t="s">
        <v>0</v>
      </c>
      <c r="T259" s="1">
        <v>83.5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66">
        <f>SUM(T259:Y259)</f>
        <v>83.5</v>
      </c>
      <c r="AA259" s="65">
        <v>2018</v>
      </c>
      <c r="AB259" s="9"/>
      <c r="AC259" s="111"/>
      <c r="AD259" s="111"/>
    </row>
    <row r="260" spans="1:30" ht="21.75" hidden="1" customHeight="1" x14ac:dyDescent="0.25">
      <c r="A260" s="60" t="s">
        <v>19</v>
      </c>
      <c r="B260" s="60" t="s">
        <v>19</v>
      </c>
      <c r="C260" s="60" t="s">
        <v>25</v>
      </c>
      <c r="D260" s="60" t="s">
        <v>19</v>
      </c>
      <c r="E260" s="60" t="s">
        <v>22</v>
      </c>
      <c r="F260" s="60" t="s">
        <v>19</v>
      </c>
      <c r="G260" s="60" t="s">
        <v>23</v>
      </c>
      <c r="H260" s="60" t="s">
        <v>20</v>
      </c>
      <c r="I260" s="60" t="s">
        <v>25</v>
      </c>
      <c r="J260" s="60" t="s">
        <v>19</v>
      </c>
      <c r="K260" s="60" t="s">
        <v>19</v>
      </c>
      <c r="L260" s="60" t="s">
        <v>21</v>
      </c>
      <c r="M260" s="60" t="s">
        <v>38</v>
      </c>
      <c r="N260" s="60" t="s">
        <v>19</v>
      </c>
      <c r="O260" s="60" t="s">
        <v>25</v>
      </c>
      <c r="P260" s="60" t="s">
        <v>23</v>
      </c>
      <c r="Q260" s="60" t="s">
        <v>40</v>
      </c>
      <c r="R260" s="166"/>
      <c r="S260" s="70" t="s">
        <v>0</v>
      </c>
      <c r="T260" s="1">
        <v>417.7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66">
        <f>SUM(T260:Y260)</f>
        <v>417.7</v>
      </c>
      <c r="AA260" s="65">
        <v>2018</v>
      </c>
      <c r="AB260" s="9"/>
      <c r="AC260" s="111"/>
      <c r="AD260" s="111"/>
    </row>
    <row r="261" spans="1:30" ht="47.45" hidden="1" customHeight="1" x14ac:dyDescent="0.25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97" t="s">
        <v>233</v>
      </c>
      <c r="S261" s="93" t="s">
        <v>8</v>
      </c>
      <c r="T261" s="47">
        <v>1</v>
      </c>
      <c r="U261" s="47">
        <v>0</v>
      </c>
      <c r="V261" s="47">
        <v>0</v>
      </c>
      <c r="W261" s="47">
        <v>0</v>
      </c>
      <c r="X261" s="47">
        <v>0</v>
      </c>
      <c r="Y261" s="47">
        <v>0</v>
      </c>
      <c r="Z261" s="6">
        <f>SUM(T261:Y261)</f>
        <v>1</v>
      </c>
      <c r="AA261" s="44">
        <v>2018</v>
      </c>
      <c r="AB261" s="9"/>
      <c r="AC261" s="111"/>
      <c r="AD261" s="111"/>
    </row>
    <row r="262" spans="1:30" ht="16.350000000000001" hidden="1" customHeight="1" x14ac:dyDescent="0.25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164" t="s">
        <v>234</v>
      </c>
      <c r="S262" s="70" t="s">
        <v>0</v>
      </c>
      <c r="T262" s="1">
        <f>SUM(T263:T265)</f>
        <v>952.5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66">
        <f t="shared" ref="Z262:Z288" si="46">SUM(T262:Y262)</f>
        <v>952.5</v>
      </c>
      <c r="AA262" s="65">
        <v>2018</v>
      </c>
      <c r="AB262" s="9"/>
      <c r="AC262" s="111"/>
      <c r="AD262" s="111"/>
    </row>
    <row r="263" spans="1:30" ht="16.350000000000001" hidden="1" customHeight="1" x14ac:dyDescent="0.25">
      <c r="A263" s="60" t="s">
        <v>19</v>
      </c>
      <c r="B263" s="60" t="s">
        <v>19</v>
      </c>
      <c r="C263" s="60" t="s">
        <v>25</v>
      </c>
      <c r="D263" s="60" t="s">
        <v>19</v>
      </c>
      <c r="E263" s="60" t="s">
        <v>22</v>
      </c>
      <c r="F263" s="60" t="s">
        <v>19</v>
      </c>
      <c r="G263" s="60" t="s">
        <v>23</v>
      </c>
      <c r="H263" s="60" t="s">
        <v>20</v>
      </c>
      <c r="I263" s="60" t="s">
        <v>25</v>
      </c>
      <c r="J263" s="60" t="s">
        <v>19</v>
      </c>
      <c r="K263" s="60" t="s">
        <v>19</v>
      </c>
      <c r="L263" s="60" t="s">
        <v>21</v>
      </c>
      <c r="M263" s="60" t="s">
        <v>20</v>
      </c>
      <c r="N263" s="60" t="s">
        <v>19</v>
      </c>
      <c r="O263" s="60" t="s">
        <v>25</v>
      </c>
      <c r="P263" s="60" t="s">
        <v>23</v>
      </c>
      <c r="Q263" s="60" t="s">
        <v>46</v>
      </c>
      <c r="R263" s="165"/>
      <c r="S263" s="70" t="s">
        <v>0</v>
      </c>
      <c r="T263" s="1">
        <v>381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66">
        <f t="shared" si="46"/>
        <v>381</v>
      </c>
      <c r="AA263" s="65">
        <v>2018</v>
      </c>
      <c r="AB263" s="9"/>
      <c r="AC263" s="111"/>
      <c r="AD263" s="111"/>
    </row>
    <row r="264" spans="1:30" ht="16.350000000000001" hidden="1" customHeight="1" x14ac:dyDescent="0.25">
      <c r="A264" s="60" t="s">
        <v>19</v>
      </c>
      <c r="B264" s="60" t="s">
        <v>19</v>
      </c>
      <c r="C264" s="60" t="s">
        <v>25</v>
      </c>
      <c r="D264" s="60" t="s">
        <v>19</v>
      </c>
      <c r="E264" s="60" t="s">
        <v>22</v>
      </c>
      <c r="F264" s="60" t="s">
        <v>19</v>
      </c>
      <c r="G264" s="60" t="s">
        <v>23</v>
      </c>
      <c r="H264" s="60" t="s">
        <v>20</v>
      </c>
      <c r="I264" s="60" t="s">
        <v>25</v>
      </c>
      <c r="J264" s="60" t="s">
        <v>19</v>
      </c>
      <c r="K264" s="60" t="s">
        <v>19</v>
      </c>
      <c r="L264" s="60" t="s">
        <v>21</v>
      </c>
      <c r="M264" s="60" t="s">
        <v>38</v>
      </c>
      <c r="N264" s="60" t="s">
        <v>19</v>
      </c>
      <c r="O264" s="60" t="s">
        <v>25</v>
      </c>
      <c r="P264" s="60" t="s">
        <v>23</v>
      </c>
      <c r="Q264" s="60" t="s">
        <v>47</v>
      </c>
      <c r="R264" s="165"/>
      <c r="S264" s="70" t="s">
        <v>0</v>
      </c>
      <c r="T264" s="1">
        <v>114.3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66">
        <f t="shared" si="46"/>
        <v>114.3</v>
      </c>
      <c r="AA264" s="65">
        <v>2018</v>
      </c>
      <c r="AB264" s="9"/>
      <c r="AC264" s="111"/>
      <c r="AD264" s="111"/>
    </row>
    <row r="265" spans="1:30" ht="16.350000000000001" hidden="1" customHeight="1" x14ac:dyDescent="0.25">
      <c r="A265" s="60" t="s">
        <v>19</v>
      </c>
      <c r="B265" s="60" t="s">
        <v>19</v>
      </c>
      <c r="C265" s="60" t="s">
        <v>25</v>
      </c>
      <c r="D265" s="60" t="s">
        <v>19</v>
      </c>
      <c r="E265" s="60" t="s">
        <v>22</v>
      </c>
      <c r="F265" s="60" t="s">
        <v>19</v>
      </c>
      <c r="G265" s="60" t="s">
        <v>23</v>
      </c>
      <c r="H265" s="60" t="s">
        <v>20</v>
      </c>
      <c r="I265" s="60" t="s">
        <v>25</v>
      </c>
      <c r="J265" s="60" t="s">
        <v>19</v>
      </c>
      <c r="K265" s="60" t="s">
        <v>19</v>
      </c>
      <c r="L265" s="60" t="s">
        <v>21</v>
      </c>
      <c r="M265" s="60" t="s">
        <v>38</v>
      </c>
      <c r="N265" s="60" t="s">
        <v>19</v>
      </c>
      <c r="O265" s="60" t="s">
        <v>25</v>
      </c>
      <c r="P265" s="60" t="s">
        <v>23</v>
      </c>
      <c r="Q265" s="60" t="s">
        <v>40</v>
      </c>
      <c r="R265" s="166"/>
      <c r="S265" s="70" t="s">
        <v>0</v>
      </c>
      <c r="T265" s="1">
        <v>457.2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66">
        <f t="shared" si="46"/>
        <v>457.2</v>
      </c>
      <c r="AA265" s="65">
        <v>2018</v>
      </c>
      <c r="AB265" s="9"/>
      <c r="AC265" s="111"/>
      <c r="AD265" s="111"/>
    </row>
    <row r="266" spans="1:30" ht="31.15" hidden="1" customHeight="1" x14ac:dyDescent="0.25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87" t="s">
        <v>235</v>
      </c>
      <c r="S266" s="93" t="s">
        <v>193</v>
      </c>
      <c r="T266" s="3">
        <v>151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6">
        <f t="shared" si="46"/>
        <v>151</v>
      </c>
      <c r="AA266" s="44">
        <v>2018</v>
      </c>
      <c r="AB266" s="9"/>
      <c r="AC266" s="111"/>
      <c r="AD266" s="111"/>
    </row>
    <row r="267" spans="1:30" ht="15.6" hidden="1" customHeight="1" x14ac:dyDescent="0.25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164" t="s">
        <v>236</v>
      </c>
      <c r="S267" s="70" t="s">
        <v>0</v>
      </c>
      <c r="T267" s="1">
        <f>SUM(T268:T270)</f>
        <v>435.8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66">
        <f t="shared" si="46"/>
        <v>435.8</v>
      </c>
      <c r="AA267" s="65">
        <v>2018</v>
      </c>
      <c r="AB267" s="9"/>
      <c r="AC267" s="111"/>
      <c r="AD267" s="111"/>
    </row>
    <row r="268" spans="1:30" ht="15.6" hidden="1" customHeight="1" x14ac:dyDescent="0.25">
      <c r="A268" s="60" t="s">
        <v>19</v>
      </c>
      <c r="B268" s="60" t="s">
        <v>19</v>
      </c>
      <c r="C268" s="60" t="s">
        <v>25</v>
      </c>
      <c r="D268" s="60" t="s">
        <v>19</v>
      </c>
      <c r="E268" s="60" t="s">
        <v>22</v>
      </c>
      <c r="F268" s="60" t="s">
        <v>19</v>
      </c>
      <c r="G268" s="60" t="s">
        <v>23</v>
      </c>
      <c r="H268" s="60" t="s">
        <v>20</v>
      </c>
      <c r="I268" s="60" t="s">
        <v>25</v>
      </c>
      <c r="J268" s="60" t="s">
        <v>19</v>
      </c>
      <c r="K268" s="60" t="s">
        <v>19</v>
      </c>
      <c r="L268" s="60" t="s">
        <v>21</v>
      </c>
      <c r="M268" s="60" t="s">
        <v>20</v>
      </c>
      <c r="N268" s="60" t="s">
        <v>19</v>
      </c>
      <c r="O268" s="60" t="s">
        <v>25</v>
      </c>
      <c r="P268" s="60" t="s">
        <v>23</v>
      </c>
      <c r="Q268" s="60" t="s">
        <v>46</v>
      </c>
      <c r="R268" s="165"/>
      <c r="S268" s="70" t="s">
        <v>0</v>
      </c>
      <c r="T268" s="1">
        <v>174.3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66">
        <f t="shared" si="46"/>
        <v>174.3</v>
      </c>
      <c r="AA268" s="65">
        <v>2018</v>
      </c>
      <c r="AB268" s="9"/>
      <c r="AC268" s="111"/>
      <c r="AD268" s="111"/>
    </row>
    <row r="269" spans="1:30" ht="15.6" hidden="1" customHeight="1" x14ac:dyDescent="0.25">
      <c r="A269" s="60" t="s">
        <v>19</v>
      </c>
      <c r="B269" s="60" t="s">
        <v>19</v>
      </c>
      <c r="C269" s="60" t="s">
        <v>25</v>
      </c>
      <c r="D269" s="60" t="s">
        <v>19</v>
      </c>
      <c r="E269" s="60" t="s">
        <v>22</v>
      </c>
      <c r="F269" s="60" t="s">
        <v>19</v>
      </c>
      <c r="G269" s="60" t="s">
        <v>23</v>
      </c>
      <c r="H269" s="60" t="s">
        <v>20</v>
      </c>
      <c r="I269" s="60" t="s">
        <v>25</v>
      </c>
      <c r="J269" s="60" t="s">
        <v>19</v>
      </c>
      <c r="K269" s="60" t="s">
        <v>19</v>
      </c>
      <c r="L269" s="60" t="s">
        <v>21</v>
      </c>
      <c r="M269" s="60" t="s">
        <v>38</v>
      </c>
      <c r="N269" s="60" t="s">
        <v>19</v>
      </c>
      <c r="O269" s="60" t="s">
        <v>25</v>
      </c>
      <c r="P269" s="60" t="s">
        <v>23</v>
      </c>
      <c r="Q269" s="60" t="s">
        <v>47</v>
      </c>
      <c r="R269" s="165"/>
      <c r="S269" s="70" t="s">
        <v>0</v>
      </c>
      <c r="T269" s="1">
        <v>45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66">
        <f t="shared" si="46"/>
        <v>45</v>
      </c>
      <c r="AA269" s="65">
        <v>2018</v>
      </c>
      <c r="AB269" s="9"/>
      <c r="AC269" s="111"/>
      <c r="AD269" s="111"/>
    </row>
    <row r="270" spans="1:30" ht="15.6" hidden="1" customHeight="1" x14ac:dyDescent="0.25">
      <c r="A270" s="60" t="s">
        <v>19</v>
      </c>
      <c r="B270" s="60" t="s">
        <v>19</v>
      </c>
      <c r="C270" s="60" t="s">
        <v>25</v>
      </c>
      <c r="D270" s="60" t="s">
        <v>19</v>
      </c>
      <c r="E270" s="60" t="s">
        <v>22</v>
      </c>
      <c r="F270" s="60" t="s">
        <v>19</v>
      </c>
      <c r="G270" s="60" t="s">
        <v>23</v>
      </c>
      <c r="H270" s="60" t="s">
        <v>20</v>
      </c>
      <c r="I270" s="60" t="s">
        <v>25</v>
      </c>
      <c r="J270" s="60" t="s">
        <v>19</v>
      </c>
      <c r="K270" s="60" t="s">
        <v>19</v>
      </c>
      <c r="L270" s="60" t="s">
        <v>21</v>
      </c>
      <c r="M270" s="60" t="s">
        <v>38</v>
      </c>
      <c r="N270" s="60" t="s">
        <v>19</v>
      </c>
      <c r="O270" s="60" t="s">
        <v>25</v>
      </c>
      <c r="P270" s="60" t="s">
        <v>23</v>
      </c>
      <c r="Q270" s="60" t="s">
        <v>40</v>
      </c>
      <c r="R270" s="166"/>
      <c r="S270" s="70" t="s">
        <v>0</v>
      </c>
      <c r="T270" s="1">
        <v>216.5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66">
        <f t="shared" si="46"/>
        <v>216.5</v>
      </c>
      <c r="AA270" s="65">
        <v>2018</v>
      </c>
      <c r="AB270" s="9"/>
      <c r="AC270" s="111"/>
      <c r="AD270" s="111"/>
    </row>
    <row r="271" spans="1:30" ht="46.9" hidden="1" customHeight="1" x14ac:dyDescent="0.25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87" t="s">
        <v>237</v>
      </c>
      <c r="S271" s="93" t="s">
        <v>52</v>
      </c>
      <c r="T271" s="47">
        <v>16</v>
      </c>
      <c r="U271" s="47">
        <v>0</v>
      </c>
      <c r="V271" s="47">
        <v>0</v>
      </c>
      <c r="W271" s="47">
        <v>0</v>
      </c>
      <c r="X271" s="47">
        <v>0</v>
      </c>
      <c r="Y271" s="47">
        <v>0</v>
      </c>
      <c r="Z271" s="55">
        <f t="shared" si="46"/>
        <v>16</v>
      </c>
      <c r="AA271" s="44">
        <v>2018</v>
      </c>
      <c r="AB271" s="9"/>
      <c r="AC271" s="111"/>
      <c r="AD271" s="111"/>
    </row>
    <row r="272" spans="1:30" ht="15.6" hidden="1" customHeight="1" x14ac:dyDescent="0.25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164" t="s">
        <v>238</v>
      </c>
      <c r="S272" s="70" t="s">
        <v>0</v>
      </c>
      <c r="T272" s="1">
        <f>SUM(T273:T275)</f>
        <v>349.1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66">
        <f t="shared" si="46"/>
        <v>349.1</v>
      </c>
      <c r="AA272" s="65">
        <v>2018</v>
      </c>
      <c r="AB272" s="9"/>
      <c r="AC272" s="111"/>
      <c r="AD272" s="111"/>
    </row>
    <row r="273" spans="1:30" ht="15.6" hidden="1" customHeight="1" x14ac:dyDescent="0.25">
      <c r="A273" s="60" t="s">
        <v>19</v>
      </c>
      <c r="B273" s="60" t="s">
        <v>19</v>
      </c>
      <c r="C273" s="60" t="s">
        <v>25</v>
      </c>
      <c r="D273" s="60" t="s">
        <v>19</v>
      </c>
      <c r="E273" s="60" t="s">
        <v>22</v>
      </c>
      <c r="F273" s="60" t="s">
        <v>19</v>
      </c>
      <c r="G273" s="60" t="s">
        <v>23</v>
      </c>
      <c r="H273" s="60" t="s">
        <v>20</v>
      </c>
      <c r="I273" s="60" t="s">
        <v>25</v>
      </c>
      <c r="J273" s="60" t="s">
        <v>19</v>
      </c>
      <c r="K273" s="60" t="s">
        <v>19</v>
      </c>
      <c r="L273" s="60" t="s">
        <v>21</v>
      </c>
      <c r="M273" s="60" t="s">
        <v>20</v>
      </c>
      <c r="N273" s="60" t="s">
        <v>19</v>
      </c>
      <c r="O273" s="60" t="s">
        <v>25</v>
      </c>
      <c r="P273" s="60" t="s">
        <v>23</v>
      </c>
      <c r="Q273" s="60" t="s">
        <v>46</v>
      </c>
      <c r="R273" s="165"/>
      <c r="S273" s="70" t="s">
        <v>0</v>
      </c>
      <c r="T273" s="1">
        <v>139.6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66">
        <f t="shared" si="46"/>
        <v>139.6</v>
      </c>
      <c r="AA273" s="65">
        <v>2018</v>
      </c>
      <c r="AB273" s="9"/>
      <c r="AC273" s="111"/>
      <c r="AD273" s="111"/>
    </row>
    <row r="274" spans="1:30" ht="15.6" hidden="1" customHeight="1" x14ac:dyDescent="0.25">
      <c r="A274" s="60" t="s">
        <v>19</v>
      </c>
      <c r="B274" s="60" t="s">
        <v>19</v>
      </c>
      <c r="C274" s="60" t="s">
        <v>25</v>
      </c>
      <c r="D274" s="60" t="s">
        <v>19</v>
      </c>
      <c r="E274" s="60" t="s">
        <v>22</v>
      </c>
      <c r="F274" s="60" t="s">
        <v>19</v>
      </c>
      <c r="G274" s="60" t="s">
        <v>23</v>
      </c>
      <c r="H274" s="60" t="s">
        <v>20</v>
      </c>
      <c r="I274" s="60" t="s">
        <v>25</v>
      </c>
      <c r="J274" s="60" t="s">
        <v>19</v>
      </c>
      <c r="K274" s="60" t="s">
        <v>19</v>
      </c>
      <c r="L274" s="60" t="s">
        <v>21</v>
      </c>
      <c r="M274" s="60" t="s">
        <v>38</v>
      </c>
      <c r="N274" s="60" t="s">
        <v>19</v>
      </c>
      <c r="O274" s="60" t="s">
        <v>25</v>
      </c>
      <c r="P274" s="60" t="s">
        <v>23</v>
      </c>
      <c r="Q274" s="60" t="s">
        <v>47</v>
      </c>
      <c r="R274" s="165"/>
      <c r="S274" s="70" t="s">
        <v>0</v>
      </c>
      <c r="T274" s="1">
        <v>34.9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66">
        <f t="shared" si="46"/>
        <v>34.9</v>
      </c>
      <c r="AA274" s="65">
        <v>2018</v>
      </c>
      <c r="AB274" s="9"/>
      <c r="AC274" s="111"/>
      <c r="AD274" s="111"/>
    </row>
    <row r="275" spans="1:30" ht="15.6" hidden="1" customHeight="1" x14ac:dyDescent="0.25">
      <c r="A275" s="60" t="s">
        <v>19</v>
      </c>
      <c r="B275" s="60" t="s">
        <v>19</v>
      </c>
      <c r="C275" s="60" t="s">
        <v>25</v>
      </c>
      <c r="D275" s="60" t="s">
        <v>19</v>
      </c>
      <c r="E275" s="60" t="s">
        <v>22</v>
      </c>
      <c r="F275" s="60" t="s">
        <v>19</v>
      </c>
      <c r="G275" s="60" t="s">
        <v>23</v>
      </c>
      <c r="H275" s="60" t="s">
        <v>20</v>
      </c>
      <c r="I275" s="60" t="s">
        <v>25</v>
      </c>
      <c r="J275" s="60" t="s">
        <v>19</v>
      </c>
      <c r="K275" s="60" t="s">
        <v>19</v>
      </c>
      <c r="L275" s="60" t="s">
        <v>21</v>
      </c>
      <c r="M275" s="60" t="s">
        <v>38</v>
      </c>
      <c r="N275" s="60" t="s">
        <v>19</v>
      </c>
      <c r="O275" s="60" t="s">
        <v>25</v>
      </c>
      <c r="P275" s="60" t="s">
        <v>23</v>
      </c>
      <c r="Q275" s="60" t="s">
        <v>40</v>
      </c>
      <c r="R275" s="166"/>
      <c r="S275" s="70" t="s">
        <v>0</v>
      </c>
      <c r="T275" s="1">
        <v>174.6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66">
        <f t="shared" si="46"/>
        <v>174.6</v>
      </c>
      <c r="AA275" s="65">
        <v>2018</v>
      </c>
      <c r="AB275" s="9"/>
      <c r="AC275" s="111"/>
      <c r="AD275" s="111"/>
    </row>
    <row r="276" spans="1:30" ht="30.6" hidden="1" customHeight="1" x14ac:dyDescent="0.25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87" t="s">
        <v>239</v>
      </c>
      <c r="S276" s="93" t="s">
        <v>194</v>
      </c>
      <c r="T276" s="3">
        <v>49.7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6">
        <f t="shared" si="46"/>
        <v>49.7</v>
      </c>
      <c r="AA276" s="44">
        <v>2018</v>
      </c>
      <c r="AB276" s="9"/>
      <c r="AC276" s="111"/>
      <c r="AD276" s="111"/>
    </row>
    <row r="277" spans="1:30" ht="15.6" hidden="1" customHeight="1" x14ac:dyDescent="0.25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164" t="s">
        <v>240</v>
      </c>
      <c r="S277" s="70" t="s">
        <v>0</v>
      </c>
      <c r="T277" s="1">
        <f>SUM(T278:T280)</f>
        <v>508.5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66">
        <f t="shared" si="46"/>
        <v>508.5</v>
      </c>
      <c r="AA277" s="65">
        <v>2018</v>
      </c>
      <c r="AB277" s="9"/>
      <c r="AC277" s="111"/>
      <c r="AD277" s="111"/>
    </row>
    <row r="278" spans="1:30" ht="15.6" hidden="1" customHeight="1" x14ac:dyDescent="0.25">
      <c r="A278" s="60" t="s">
        <v>19</v>
      </c>
      <c r="B278" s="60" t="s">
        <v>19</v>
      </c>
      <c r="C278" s="60" t="s">
        <v>25</v>
      </c>
      <c r="D278" s="60" t="s">
        <v>19</v>
      </c>
      <c r="E278" s="60" t="s">
        <v>22</v>
      </c>
      <c r="F278" s="60" t="s">
        <v>19</v>
      </c>
      <c r="G278" s="60" t="s">
        <v>23</v>
      </c>
      <c r="H278" s="60" t="s">
        <v>20</v>
      </c>
      <c r="I278" s="60" t="s">
        <v>25</v>
      </c>
      <c r="J278" s="60" t="s">
        <v>19</v>
      </c>
      <c r="K278" s="60" t="s">
        <v>19</v>
      </c>
      <c r="L278" s="60" t="s">
        <v>21</v>
      </c>
      <c r="M278" s="60" t="s">
        <v>20</v>
      </c>
      <c r="N278" s="60" t="s">
        <v>19</v>
      </c>
      <c r="O278" s="60" t="s">
        <v>25</v>
      </c>
      <c r="P278" s="60" t="s">
        <v>23</v>
      </c>
      <c r="Q278" s="60" t="s">
        <v>46</v>
      </c>
      <c r="R278" s="165"/>
      <c r="S278" s="70" t="s">
        <v>0</v>
      </c>
      <c r="T278" s="1">
        <v>203.4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66">
        <f t="shared" si="46"/>
        <v>203.4</v>
      </c>
      <c r="AA278" s="65">
        <v>2018</v>
      </c>
      <c r="AB278" s="9"/>
      <c r="AC278" s="111"/>
      <c r="AD278" s="111"/>
    </row>
    <row r="279" spans="1:30" ht="15.6" hidden="1" customHeight="1" x14ac:dyDescent="0.25">
      <c r="A279" s="60" t="s">
        <v>19</v>
      </c>
      <c r="B279" s="60" t="s">
        <v>19</v>
      </c>
      <c r="C279" s="60" t="s">
        <v>25</v>
      </c>
      <c r="D279" s="60" t="s">
        <v>19</v>
      </c>
      <c r="E279" s="60" t="s">
        <v>22</v>
      </c>
      <c r="F279" s="60" t="s">
        <v>19</v>
      </c>
      <c r="G279" s="60" t="s">
        <v>23</v>
      </c>
      <c r="H279" s="60" t="s">
        <v>20</v>
      </c>
      <c r="I279" s="60" t="s">
        <v>25</v>
      </c>
      <c r="J279" s="60" t="s">
        <v>19</v>
      </c>
      <c r="K279" s="60" t="s">
        <v>19</v>
      </c>
      <c r="L279" s="60" t="s">
        <v>21</v>
      </c>
      <c r="M279" s="60" t="s">
        <v>38</v>
      </c>
      <c r="N279" s="60" t="s">
        <v>19</v>
      </c>
      <c r="O279" s="60" t="s">
        <v>25</v>
      </c>
      <c r="P279" s="60" t="s">
        <v>23</v>
      </c>
      <c r="Q279" s="60" t="s">
        <v>47</v>
      </c>
      <c r="R279" s="165"/>
      <c r="S279" s="70" t="s">
        <v>0</v>
      </c>
      <c r="T279" s="1">
        <v>50.9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66">
        <f t="shared" si="46"/>
        <v>50.9</v>
      </c>
      <c r="AA279" s="65">
        <v>2018</v>
      </c>
      <c r="AB279" s="9"/>
      <c r="AC279" s="111"/>
      <c r="AD279" s="111"/>
    </row>
    <row r="280" spans="1:30" ht="15.6" hidden="1" customHeight="1" x14ac:dyDescent="0.25">
      <c r="A280" s="60" t="s">
        <v>19</v>
      </c>
      <c r="B280" s="60" t="s">
        <v>19</v>
      </c>
      <c r="C280" s="60" t="s">
        <v>25</v>
      </c>
      <c r="D280" s="60" t="s">
        <v>19</v>
      </c>
      <c r="E280" s="60" t="s">
        <v>22</v>
      </c>
      <c r="F280" s="60" t="s">
        <v>19</v>
      </c>
      <c r="G280" s="60" t="s">
        <v>23</v>
      </c>
      <c r="H280" s="60" t="s">
        <v>20</v>
      </c>
      <c r="I280" s="60" t="s">
        <v>25</v>
      </c>
      <c r="J280" s="60" t="s">
        <v>19</v>
      </c>
      <c r="K280" s="60" t="s">
        <v>19</v>
      </c>
      <c r="L280" s="60" t="s">
        <v>21</v>
      </c>
      <c r="M280" s="60" t="s">
        <v>38</v>
      </c>
      <c r="N280" s="60" t="s">
        <v>19</v>
      </c>
      <c r="O280" s="60" t="s">
        <v>25</v>
      </c>
      <c r="P280" s="60" t="s">
        <v>23</v>
      </c>
      <c r="Q280" s="60" t="s">
        <v>40</v>
      </c>
      <c r="R280" s="166"/>
      <c r="S280" s="70" t="s">
        <v>0</v>
      </c>
      <c r="T280" s="1">
        <v>254.2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66">
        <f t="shared" si="46"/>
        <v>254.2</v>
      </c>
      <c r="AA280" s="65">
        <v>2018</v>
      </c>
      <c r="AB280" s="9"/>
      <c r="AC280" s="111"/>
      <c r="AD280" s="111"/>
    </row>
    <row r="281" spans="1:30" ht="31.15" hidden="1" customHeight="1" x14ac:dyDescent="0.25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87" t="s">
        <v>241</v>
      </c>
      <c r="S281" s="93" t="s">
        <v>194</v>
      </c>
      <c r="T281" s="3">
        <v>88.3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6">
        <f t="shared" si="46"/>
        <v>88.3</v>
      </c>
      <c r="AA281" s="44">
        <v>2018</v>
      </c>
      <c r="AB281" s="9"/>
      <c r="AC281" s="111"/>
      <c r="AD281" s="111"/>
    </row>
    <row r="282" spans="1:30" x14ac:dyDescent="0.25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164" t="s">
        <v>149</v>
      </c>
      <c r="S282" s="70" t="s">
        <v>0</v>
      </c>
      <c r="T282" s="1">
        <f>SUM(T283:T286)</f>
        <v>8990.0999999999985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66">
        <f t="shared" si="46"/>
        <v>8990.0999999999985</v>
      </c>
      <c r="AA282" s="65">
        <v>2018</v>
      </c>
      <c r="AB282" s="135"/>
      <c r="AC282" s="111"/>
      <c r="AD282" s="111"/>
    </row>
    <row r="283" spans="1:30" x14ac:dyDescent="0.25">
      <c r="A283" s="60" t="s">
        <v>19</v>
      </c>
      <c r="B283" s="60" t="s">
        <v>19</v>
      </c>
      <c r="C283" s="60" t="s">
        <v>22</v>
      </c>
      <c r="D283" s="60" t="s">
        <v>19</v>
      </c>
      <c r="E283" s="60" t="s">
        <v>19</v>
      </c>
      <c r="F283" s="60" t="s">
        <v>19</v>
      </c>
      <c r="G283" s="60" t="s">
        <v>19</v>
      </c>
      <c r="H283" s="60" t="s">
        <v>20</v>
      </c>
      <c r="I283" s="60" t="s">
        <v>25</v>
      </c>
      <c r="J283" s="60" t="s">
        <v>19</v>
      </c>
      <c r="K283" s="60" t="s">
        <v>19</v>
      </c>
      <c r="L283" s="60" t="s">
        <v>21</v>
      </c>
      <c r="M283" s="60" t="s">
        <v>20</v>
      </c>
      <c r="N283" s="60" t="s">
        <v>19</v>
      </c>
      <c r="O283" s="60" t="s">
        <v>25</v>
      </c>
      <c r="P283" s="60" t="s">
        <v>23</v>
      </c>
      <c r="Q283" s="60" t="s">
        <v>46</v>
      </c>
      <c r="R283" s="165"/>
      <c r="S283" s="70" t="s">
        <v>0</v>
      </c>
      <c r="T283" s="1">
        <f>T290+T296+T303+T310+T317+T324+T331+T338+T345+T352+T358+T364</f>
        <v>3538.9999999999995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66">
        <f t="shared" si="46"/>
        <v>3538.9999999999995</v>
      </c>
      <c r="AA283" s="65">
        <v>2018</v>
      </c>
      <c r="AB283" s="135"/>
      <c r="AC283" s="111"/>
      <c r="AD283" s="111"/>
    </row>
    <row r="284" spans="1:30" x14ac:dyDescent="0.25">
      <c r="A284" s="60" t="s">
        <v>19</v>
      </c>
      <c r="B284" s="60" t="s">
        <v>19</v>
      </c>
      <c r="C284" s="60" t="s">
        <v>22</v>
      </c>
      <c r="D284" s="60" t="s">
        <v>19</v>
      </c>
      <c r="E284" s="60" t="s">
        <v>19</v>
      </c>
      <c r="F284" s="60" t="s">
        <v>19</v>
      </c>
      <c r="G284" s="60" t="s">
        <v>19</v>
      </c>
      <c r="H284" s="60" t="s">
        <v>20</v>
      </c>
      <c r="I284" s="60" t="s">
        <v>25</v>
      </c>
      <c r="J284" s="60" t="s">
        <v>19</v>
      </c>
      <c r="K284" s="60" t="s">
        <v>19</v>
      </c>
      <c r="L284" s="60" t="s">
        <v>21</v>
      </c>
      <c r="M284" s="60" t="s">
        <v>20</v>
      </c>
      <c r="N284" s="60" t="s">
        <v>19</v>
      </c>
      <c r="O284" s="60" t="s">
        <v>44</v>
      </c>
      <c r="P284" s="60" t="s">
        <v>23</v>
      </c>
      <c r="Q284" s="60" t="s">
        <v>196</v>
      </c>
      <c r="R284" s="165"/>
      <c r="S284" s="70" t="s">
        <v>0</v>
      </c>
      <c r="T284" s="1">
        <v>339.9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66">
        <f t="shared" si="46"/>
        <v>339.9</v>
      </c>
      <c r="AA284" s="65">
        <v>2018</v>
      </c>
      <c r="AB284" s="135"/>
      <c r="AC284" s="111"/>
      <c r="AD284" s="111"/>
    </row>
    <row r="285" spans="1:30" x14ac:dyDescent="0.25">
      <c r="A285" s="60" t="s">
        <v>19</v>
      </c>
      <c r="B285" s="60" t="s">
        <v>19</v>
      </c>
      <c r="C285" s="60" t="s">
        <v>22</v>
      </c>
      <c r="D285" s="60" t="s">
        <v>19</v>
      </c>
      <c r="E285" s="60" t="s">
        <v>19</v>
      </c>
      <c r="F285" s="60" t="s">
        <v>19</v>
      </c>
      <c r="G285" s="60" t="s">
        <v>19</v>
      </c>
      <c r="H285" s="60" t="s">
        <v>20</v>
      </c>
      <c r="I285" s="60" t="s">
        <v>25</v>
      </c>
      <c r="J285" s="60" t="s">
        <v>19</v>
      </c>
      <c r="K285" s="60" t="s">
        <v>19</v>
      </c>
      <c r="L285" s="60" t="s">
        <v>21</v>
      </c>
      <c r="M285" s="60" t="s">
        <v>38</v>
      </c>
      <c r="N285" s="60" t="s">
        <v>19</v>
      </c>
      <c r="O285" s="60" t="s">
        <v>25</v>
      </c>
      <c r="P285" s="60" t="s">
        <v>23</v>
      </c>
      <c r="Q285" s="60" t="s">
        <v>47</v>
      </c>
      <c r="R285" s="165"/>
      <c r="S285" s="70" t="s">
        <v>0</v>
      </c>
      <c r="T285" s="1">
        <f>T291+T292+T298+T299+T305+T306+T312+T313+T319+T320+T326+T327+T333+T334+T340+T341+T347+T348+T354+T360+T367+T366</f>
        <v>1913.5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66">
        <f t="shared" si="46"/>
        <v>1913.5</v>
      </c>
      <c r="AA285" s="65">
        <v>2018</v>
      </c>
      <c r="AB285" s="135"/>
      <c r="AC285" s="111"/>
      <c r="AD285" s="111"/>
    </row>
    <row r="286" spans="1:30" x14ac:dyDescent="0.25">
      <c r="A286" s="60" t="s">
        <v>19</v>
      </c>
      <c r="B286" s="60" t="s">
        <v>19</v>
      </c>
      <c r="C286" s="60" t="s">
        <v>22</v>
      </c>
      <c r="D286" s="60" t="s">
        <v>19</v>
      </c>
      <c r="E286" s="60" t="s">
        <v>19</v>
      </c>
      <c r="F286" s="60" t="s">
        <v>19</v>
      </c>
      <c r="G286" s="60" t="s">
        <v>19</v>
      </c>
      <c r="H286" s="60" t="s">
        <v>20</v>
      </c>
      <c r="I286" s="60" t="s">
        <v>25</v>
      </c>
      <c r="J286" s="60" t="s">
        <v>19</v>
      </c>
      <c r="K286" s="60" t="s">
        <v>19</v>
      </c>
      <c r="L286" s="60" t="s">
        <v>21</v>
      </c>
      <c r="M286" s="60" t="s">
        <v>38</v>
      </c>
      <c r="N286" s="60" t="s">
        <v>19</v>
      </c>
      <c r="O286" s="60" t="s">
        <v>25</v>
      </c>
      <c r="P286" s="60" t="s">
        <v>23</v>
      </c>
      <c r="Q286" s="60" t="s">
        <v>40</v>
      </c>
      <c r="R286" s="166"/>
      <c r="S286" s="70" t="s">
        <v>0</v>
      </c>
      <c r="T286" s="1">
        <v>3197.7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66">
        <f t="shared" si="46"/>
        <v>3197.7</v>
      </c>
      <c r="AA286" s="65">
        <v>2018</v>
      </c>
      <c r="AB286" s="135"/>
      <c r="AC286" s="111"/>
      <c r="AD286" s="111"/>
    </row>
    <row r="287" spans="1:30" ht="47.25" x14ac:dyDescent="0.25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87" t="s">
        <v>209</v>
      </c>
      <c r="S287" s="69" t="s">
        <v>56</v>
      </c>
      <c r="T287" s="3">
        <v>2.7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6">
        <f t="shared" si="46"/>
        <v>2.7</v>
      </c>
      <c r="AA287" s="44">
        <v>2018</v>
      </c>
      <c r="AB287" s="9"/>
      <c r="AC287" s="111"/>
      <c r="AD287" s="111"/>
    </row>
    <row r="288" spans="1:30" ht="47.25" x14ac:dyDescent="0.25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87" t="s">
        <v>210</v>
      </c>
      <c r="S288" s="93" t="s">
        <v>52</v>
      </c>
      <c r="T288" s="47">
        <v>11</v>
      </c>
      <c r="U288" s="47">
        <v>0</v>
      </c>
      <c r="V288" s="47">
        <v>0</v>
      </c>
      <c r="W288" s="47">
        <v>0</v>
      </c>
      <c r="X288" s="47">
        <v>0</v>
      </c>
      <c r="Y288" s="47">
        <v>0</v>
      </c>
      <c r="Z288" s="55">
        <f t="shared" si="46"/>
        <v>11</v>
      </c>
      <c r="AA288" s="44">
        <v>2018</v>
      </c>
      <c r="AB288" s="9"/>
      <c r="AC288" s="111"/>
      <c r="AD288" s="111"/>
    </row>
    <row r="289" spans="1:30" ht="15.6" hidden="1" customHeight="1" x14ac:dyDescent="0.25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164" t="s">
        <v>242</v>
      </c>
      <c r="S289" s="70" t="s">
        <v>0</v>
      </c>
      <c r="T289" s="1">
        <f>SUM(T290:T293)</f>
        <v>1027.7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66">
        <f t="shared" si="45"/>
        <v>1027.7</v>
      </c>
      <c r="AA289" s="65">
        <v>2018</v>
      </c>
      <c r="AB289" s="9"/>
      <c r="AC289" s="111"/>
      <c r="AD289" s="111"/>
    </row>
    <row r="290" spans="1:30" ht="15.6" hidden="1" customHeight="1" x14ac:dyDescent="0.25">
      <c r="A290" s="60" t="s">
        <v>19</v>
      </c>
      <c r="B290" s="60" t="s">
        <v>19</v>
      </c>
      <c r="C290" s="60" t="s">
        <v>22</v>
      </c>
      <c r="D290" s="60" t="s">
        <v>19</v>
      </c>
      <c r="E290" s="60" t="s">
        <v>22</v>
      </c>
      <c r="F290" s="60" t="s">
        <v>19</v>
      </c>
      <c r="G290" s="60" t="s">
        <v>23</v>
      </c>
      <c r="H290" s="60" t="s">
        <v>20</v>
      </c>
      <c r="I290" s="60" t="s">
        <v>25</v>
      </c>
      <c r="J290" s="60" t="s">
        <v>19</v>
      </c>
      <c r="K290" s="60" t="s">
        <v>19</v>
      </c>
      <c r="L290" s="60" t="s">
        <v>21</v>
      </c>
      <c r="M290" s="60" t="s">
        <v>20</v>
      </c>
      <c r="N290" s="60" t="s">
        <v>19</v>
      </c>
      <c r="O290" s="60" t="s">
        <v>25</v>
      </c>
      <c r="P290" s="60" t="s">
        <v>23</v>
      </c>
      <c r="Q290" s="60" t="s">
        <v>46</v>
      </c>
      <c r="R290" s="165"/>
      <c r="S290" s="70" t="s">
        <v>0</v>
      </c>
      <c r="T290" s="1">
        <v>400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66">
        <f t="shared" si="45"/>
        <v>400</v>
      </c>
      <c r="AA290" s="65">
        <v>2018</v>
      </c>
      <c r="AB290" s="9"/>
      <c r="AC290" s="111"/>
      <c r="AD290" s="111"/>
    </row>
    <row r="291" spans="1:30" ht="15.6" hidden="1" customHeight="1" x14ac:dyDescent="0.25">
      <c r="A291" s="60" t="s">
        <v>19</v>
      </c>
      <c r="B291" s="60" t="s">
        <v>19</v>
      </c>
      <c r="C291" s="60" t="s">
        <v>22</v>
      </c>
      <c r="D291" s="60" t="s">
        <v>19</v>
      </c>
      <c r="E291" s="60" t="s">
        <v>22</v>
      </c>
      <c r="F291" s="60" t="s">
        <v>19</v>
      </c>
      <c r="G291" s="60" t="s">
        <v>23</v>
      </c>
      <c r="H291" s="60" t="s">
        <v>20</v>
      </c>
      <c r="I291" s="60" t="s">
        <v>25</v>
      </c>
      <c r="J291" s="60" t="s">
        <v>19</v>
      </c>
      <c r="K291" s="60" t="s">
        <v>19</v>
      </c>
      <c r="L291" s="60" t="s">
        <v>21</v>
      </c>
      <c r="M291" s="60" t="s">
        <v>38</v>
      </c>
      <c r="N291" s="60" t="s">
        <v>19</v>
      </c>
      <c r="O291" s="60" t="s">
        <v>25</v>
      </c>
      <c r="P291" s="60" t="s">
        <v>23</v>
      </c>
      <c r="Q291" s="60" t="s">
        <v>47</v>
      </c>
      <c r="R291" s="165"/>
      <c r="S291" s="70" t="s">
        <v>0</v>
      </c>
      <c r="T291" s="1">
        <v>14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66">
        <f t="shared" si="45"/>
        <v>14</v>
      </c>
      <c r="AA291" s="65">
        <v>2018</v>
      </c>
      <c r="AB291" s="9"/>
      <c r="AC291" s="111"/>
      <c r="AD291" s="111"/>
    </row>
    <row r="292" spans="1:30" ht="15.6" hidden="1" customHeight="1" x14ac:dyDescent="0.25">
      <c r="A292" s="60" t="s">
        <v>19</v>
      </c>
      <c r="B292" s="60" t="s">
        <v>19</v>
      </c>
      <c r="C292" s="60" t="s">
        <v>22</v>
      </c>
      <c r="D292" s="60" t="s">
        <v>19</v>
      </c>
      <c r="E292" s="60" t="s">
        <v>22</v>
      </c>
      <c r="F292" s="60" t="s">
        <v>19</v>
      </c>
      <c r="G292" s="60" t="s">
        <v>23</v>
      </c>
      <c r="H292" s="60" t="s">
        <v>20</v>
      </c>
      <c r="I292" s="60" t="s">
        <v>25</v>
      </c>
      <c r="J292" s="60" t="s">
        <v>19</v>
      </c>
      <c r="K292" s="60" t="s">
        <v>19</v>
      </c>
      <c r="L292" s="60" t="s">
        <v>21</v>
      </c>
      <c r="M292" s="60" t="s">
        <v>38</v>
      </c>
      <c r="N292" s="60" t="s">
        <v>19</v>
      </c>
      <c r="O292" s="60" t="s">
        <v>25</v>
      </c>
      <c r="P292" s="60" t="s">
        <v>23</v>
      </c>
      <c r="Q292" s="60" t="s">
        <v>47</v>
      </c>
      <c r="R292" s="165"/>
      <c r="S292" s="70" t="s">
        <v>0</v>
      </c>
      <c r="T292" s="1">
        <v>157.4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66">
        <f t="shared" si="45"/>
        <v>157.4</v>
      </c>
      <c r="AA292" s="65">
        <v>2018</v>
      </c>
      <c r="AB292" s="9"/>
      <c r="AC292" s="111"/>
      <c r="AD292" s="111"/>
    </row>
    <row r="293" spans="1:30" ht="15.6" hidden="1" customHeight="1" x14ac:dyDescent="0.25">
      <c r="A293" s="60" t="s">
        <v>19</v>
      </c>
      <c r="B293" s="60" t="s">
        <v>19</v>
      </c>
      <c r="C293" s="60" t="s">
        <v>22</v>
      </c>
      <c r="D293" s="60" t="s">
        <v>19</v>
      </c>
      <c r="E293" s="60" t="s">
        <v>22</v>
      </c>
      <c r="F293" s="60" t="s">
        <v>19</v>
      </c>
      <c r="G293" s="60" t="s">
        <v>23</v>
      </c>
      <c r="H293" s="60" t="s">
        <v>20</v>
      </c>
      <c r="I293" s="60" t="s">
        <v>25</v>
      </c>
      <c r="J293" s="60" t="s">
        <v>19</v>
      </c>
      <c r="K293" s="60" t="s">
        <v>19</v>
      </c>
      <c r="L293" s="60" t="s">
        <v>21</v>
      </c>
      <c r="M293" s="60" t="s">
        <v>38</v>
      </c>
      <c r="N293" s="60" t="s">
        <v>19</v>
      </c>
      <c r="O293" s="60" t="s">
        <v>25</v>
      </c>
      <c r="P293" s="60" t="s">
        <v>23</v>
      </c>
      <c r="Q293" s="60" t="s">
        <v>40</v>
      </c>
      <c r="R293" s="166"/>
      <c r="S293" s="70" t="s">
        <v>0</v>
      </c>
      <c r="T293" s="1">
        <v>456.3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66">
        <f t="shared" si="45"/>
        <v>456.3</v>
      </c>
      <c r="AA293" s="65">
        <v>2018</v>
      </c>
      <c r="AB293" s="9"/>
      <c r="AC293" s="111"/>
      <c r="AD293" s="111"/>
    </row>
    <row r="294" spans="1:30" ht="51" hidden="1" customHeight="1" x14ac:dyDescent="0.25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87" t="s">
        <v>243</v>
      </c>
      <c r="S294" s="93" t="s">
        <v>193</v>
      </c>
      <c r="T294" s="3">
        <v>754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6">
        <f t="shared" si="45"/>
        <v>754</v>
      </c>
      <c r="AA294" s="44">
        <v>2018</v>
      </c>
      <c r="AB294" s="9"/>
      <c r="AC294" s="111"/>
      <c r="AD294" s="111"/>
    </row>
    <row r="295" spans="1:30" ht="16.149999999999999" hidden="1" customHeight="1" x14ac:dyDescent="0.25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164" t="s">
        <v>244</v>
      </c>
      <c r="S295" s="70" t="s">
        <v>0</v>
      </c>
      <c r="T295" s="1">
        <f>SUM(T296:T300)</f>
        <v>244.8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66">
        <f t="shared" si="45"/>
        <v>244.8</v>
      </c>
      <c r="AA295" s="65">
        <v>2018</v>
      </c>
      <c r="AB295" s="9"/>
      <c r="AC295" s="111"/>
      <c r="AD295" s="111"/>
    </row>
    <row r="296" spans="1:30" ht="16.149999999999999" hidden="1" customHeight="1" x14ac:dyDescent="0.25">
      <c r="A296" s="60" t="s">
        <v>19</v>
      </c>
      <c r="B296" s="60" t="s">
        <v>19</v>
      </c>
      <c r="C296" s="60" t="s">
        <v>22</v>
      </c>
      <c r="D296" s="60" t="s">
        <v>19</v>
      </c>
      <c r="E296" s="60" t="s">
        <v>22</v>
      </c>
      <c r="F296" s="60" t="s">
        <v>19</v>
      </c>
      <c r="G296" s="60" t="s">
        <v>23</v>
      </c>
      <c r="H296" s="60" t="s">
        <v>20</v>
      </c>
      <c r="I296" s="60" t="s">
        <v>25</v>
      </c>
      <c r="J296" s="60" t="s">
        <v>19</v>
      </c>
      <c r="K296" s="60" t="s">
        <v>19</v>
      </c>
      <c r="L296" s="60" t="s">
        <v>21</v>
      </c>
      <c r="M296" s="60" t="s">
        <v>20</v>
      </c>
      <c r="N296" s="60" t="s">
        <v>19</v>
      </c>
      <c r="O296" s="60" t="s">
        <v>25</v>
      </c>
      <c r="P296" s="60" t="s">
        <v>23</v>
      </c>
      <c r="Q296" s="60" t="s">
        <v>46</v>
      </c>
      <c r="R296" s="165"/>
      <c r="S296" s="70" t="s">
        <v>0</v>
      </c>
      <c r="T296" s="1">
        <v>97.9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66">
        <f t="shared" si="45"/>
        <v>97.9</v>
      </c>
      <c r="AA296" s="65">
        <v>2018</v>
      </c>
      <c r="AB296" s="9"/>
      <c r="AC296" s="111"/>
      <c r="AD296" s="111"/>
    </row>
    <row r="297" spans="1:30" ht="16.149999999999999" hidden="1" customHeight="1" x14ac:dyDescent="0.25">
      <c r="A297" s="60" t="s">
        <v>19</v>
      </c>
      <c r="B297" s="60" t="s">
        <v>19</v>
      </c>
      <c r="C297" s="60" t="s">
        <v>22</v>
      </c>
      <c r="D297" s="60" t="s">
        <v>19</v>
      </c>
      <c r="E297" s="60" t="s">
        <v>22</v>
      </c>
      <c r="F297" s="60" t="s">
        <v>19</v>
      </c>
      <c r="G297" s="60" t="s">
        <v>23</v>
      </c>
      <c r="H297" s="60" t="s">
        <v>20</v>
      </c>
      <c r="I297" s="60" t="s">
        <v>25</v>
      </c>
      <c r="J297" s="60" t="s">
        <v>19</v>
      </c>
      <c r="K297" s="60" t="s">
        <v>19</v>
      </c>
      <c r="L297" s="60" t="s">
        <v>21</v>
      </c>
      <c r="M297" s="60" t="s">
        <v>20</v>
      </c>
      <c r="N297" s="60" t="s">
        <v>19</v>
      </c>
      <c r="O297" s="60" t="s">
        <v>44</v>
      </c>
      <c r="P297" s="60" t="s">
        <v>23</v>
      </c>
      <c r="Q297" s="60" t="s">
        <v>196</v>
      </c>
      <c r="R297" s="165"/>
      <c r="S297" s="70" t="s">
        <v>0</v>
      </c>
      <c r="T297" s="1">
        <v>15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66">
        <f t="shared" si="45"/>
        <v>15</v>
      </c>
      <c r="AA297" s="65">
        <v>2018</v>
      </c>
      <c r="AB297" s="9"/>
      <c r="AC297" s="111"/>
      <c r="AD297" s="111"/>
    </row>
    <row r="298" spans="1:30" ht="16.149999999999999" hidden="1" customHeight="1" x14ac:dyDescent="0.25">
      <c r="A298" s="60" t="s">
        <v>19</v>
      </c>
      <c r="B298" s="60" t="s">
        <v>19</v>
      </c>
      <c r="C298" s="60" t="s">
        <v>22</v>
      </c>
      <c r="D298" s="60" t="s">
        <v>19</v>
      </c>
      <c r="E298" s="60" t="s">
        <v>22</v>
      </c>
      <c r="F298" s="60" t="s">
        <v>19</v>
      </c>
      <c r="G298" s="60" t="s">
        <v>23</v>
      </c>
      <c r="H298" s="60" t="s">
        <v>20</v>
      </c>
      <c r="I298" s="60" t="s">
        <v>25</v>
      </c>
      <c r="J298" s="60" t="s">
        <v>19</v>
      </c>
      <c r="K298" s="60" t="s">
        <v>19</v>
      </c>
      <c r="L298" s="60" t="s">
        <v>21</v>
      </c>
      <c r="M298" s="60" t="s">
        <v>38</v>
      </c>
      <c r="N298" s="60" t="s">
        <v>19</v>
      </c>
      <c r="O298" s="60" t="s">
        <v>25</v>
      </c>
      <c r="P298" s="60" t="s">
        <v>23</v>
      </c>
      <c r="Q298" s="60" t="s">
        <v>47</v>
      </c>
      <c r="R298" s="165"/>
      <c r="S298" s="70" t="s">
        <v>0</v>
      </c>
      <c r="T298" s="1">
        <v>4.9000000000000004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66">
        <f t="shared" si="45"/>
        <v>4.9000000000000004</v>
      </c>
      <c r="AA298" s="65">
        <v>2018</v>
      </c>
      <c r="AB298" s="9"/>
      <c r="AC298" s="111"/>
      <c r="AD298" s="111"/>
    </row>
    <row r="299" spans="1:30" ht="16.149999999999999" hidden="1" customHeight="1" x14ac:dyDescent="0.25">
      <c r="A299" s="60" t="s">
        <v>19</v>
      </c>
      <c r="B299" s="60" t="s">
        <v>19</v>
      </c>
      <c r="C299" s="60" t="s">
        <v>22</v>
      </c>
      <c r="D299" s="60" t="s">
        <v>19</v>
      </c>
      <c r="E299" s="60" t="s">
        <v>22</v>
      </c>
      <c r="F299" s="60" t="s">
        <v>19</v>
      </c>
      <c r="G299" s="60" t="s">
        <v>23</v>
      </c>
      <c r="H299" s="60" t="s">
        <v>20</v>
      </c>
      <c r="I299" s="60" t="s">
        <v>25</v>
      </c>
      <c r="J299" s="60" t="s">
        <v>19</v>
      </c>
      <c r="K299" s="60" t="s">
        <v>19</v>
      </c>
      <c r="L299" s="60" t="s">
        <v>21</v>
      </c>
      <c r="M299" s="60" t="s">
        <v>38</v>
      </c>
      <c r="N299" s="60" t="s">
        <v>19</v>
      </c>
      <c r="O299" s="60" t="s">
        <v>25</v>
      </c>
      <c r="P299" s="60" t="s">
        <v>23</v>
      </c>
      <c r="Q299" s="60" t="s">
        <v>47</v>
      </c>
      <c r="R299" s="165"/>
      <c r="S299" s="70" t="s">
        <v>0</v>
      </c>
      <c r="T299" s="1">
        <v>36.700000000000003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66">
        <f t="shared" si="45"/>
        <v>36.700000000000003</v>
      </c>
      <c r="AA299" s="65">
        <v>2018</v>
      </c>
      <c r="AB299" s="9"/>
      <c r="AC299" s="111"/>
      <c r="AD299" s="111"/>
    </row>
    <row r="300" spans="1:30" ht="16.149999999999999" hidden="1" customHeight="1" x14ac:dyDescent="0.25">
      <c r="A300" s="60" t="s">
        <v>19</v>
      </c>
      <c r="B300" s="60" t="s">
        <v>19</v>
      </c>
      <c r="C300" s="60" t="s">
        <v>22</v>
      </c>
      <c r="D300" s="60" t="s">
        <v>19</v>
      </c>
      <c r="E300" s="60" t="s">
        <v>22</v>
      </c>
      <c r="F300" s="60" t="s">
        <v>19</v>
      </c>
      <c r="G300" s="60" t="s">
        <v>23</v>
      </c>
      <c r="H300" s="60" t="s">
        <v>20</v>
      </c>
      <c r="I300" s="60" t="s">
        <v>25</v>
      </c>
      <c r="J300" s="60" t="s">
        <v>19</v>
      </c>
      <c r="K300" s="60" t="s">
        <v>19</v>
      </c>
      <c r="L300" s="60" t="s">
        <v>21</v>
      </c>
      <c r="M300" s="60" t="s">
        <v>38</v>
      </c>
      <c r="N300" s="60" t="s">
        <v>19</v>
      </c>
      <c r="O300" s="60" t="s">
        <v>25</v>
      </c>
      <c r="P300" s="60" t="s">
        <v>23</v>
      </c>
      <c r="Q300" s="60" t="s">
        <v>40</v>
      </c>
      <c r="R300" s="166"/>
      <c r="S300" s="70" t="s">
        <v>0</v>
      </c>
      <c r="T300" s="1">
        <v>90.3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66">
        <f t="shared" si="45"/>
        <v>90.3</v>
      </c>
      <c r="AA300" s="65">
        <v>2018</v>
      </c>
      <c r="AB300" s="9"/>
      <c r="AC300" s="111"/>
      <c r="AD300" s="111"/>
    </row>
    <row r="301" spans="1:30" ht="52.15" hidden="1" customHeight="1" x14ac:dyDescent="0.25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87" t="s">
        <v>245</v>
      </c>
      <c r="S301" s="93" t="s">
        <v>52</v>
      </c>
      <c r="T301" s="47">
        <v>10</v>
      </c>
      <c r="U301" s="47">
        <v>0</v>
      </c>
      <c r="V301" s="47">
        <v>0</v>
      </c>
      <c r="W301" s="47">
        <v>0</v>
      </c>
      <c r="X301" s="47">
        <v>0</v>
      </c>
      <c r="Y301" s="47">
        <v>0</v>
      </c>
      <c r="Z301" s="55">
        <f t="shared" si="45"/>
        <v>10</v>
      </c>
      <c r="AA301" s="44">
        <v>2018</v>
      </c>
      <c r="AB301" s="9"/>
      <c r="AC301" s="111"/>
      <c r="AD301" s="111"/>
    </row>
    <row r="302" spans="1:30" ht="16.350000000000001" hidden="1" customHeight="1" x14ac:dyDescent="0.25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164" t="s">
        <v>246</v>
      </c>
      <c r="S302" s="70" t="s">
        <v>0</v>
      </c>
      <c r="T302" s="1">
        <f>SUM(T303:T307)</f>
        <v>686.4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66">
        <f t="shared" ref="Z302:Z369" si="47">SUM(T302:Y302)</f>
        <v>686.4</v>
      </c>
      <c r="AA302" s="65">
        <v>2018</v>
      </c>
      <c r="AB302" s="9"/>
      <c r="AC302" s="111"/>
      <c r="AD302" s="111"/>
    </row>
    <row r="303" spans="1:30" ht="16.350000000000001" hidden="1" customHeight="1" x14ac:dyDescent="0.25">
      <c r="A303" s="60" t="s">
        <v>19</v>
      </c>
      <c r="B303" s="60" t="s">
        <v>19</v>
      </c>
      <c r="C303" s="60" t="s">
        <v>22</v>
      </c>
      <c r="D303" s="60" t="s">
        <v>19</v>
      </c>
      <c r="E303" s="60" t="s">
        <v>25</v>
      </c>
      <c r="F303" s="60" t="s">
        <v>19</v>
      </c>
      <c r="G303" s="60" t="s">
        <v>44</v>
      </c>
      <c r="H303" s="60" t="s">
        <v>20</v>
      </c>
      <c r="I303" s="60" t="s">
        <v>25</v>
      </c>
      <c r="J303" s="60" t="s">
        <v>19</v>
      </c>
      <c r="K303" s="60" t="s">
        <v>19</v>
      </c>
      <c r="L303" s="60" t="s">
        <v>21</v>
      </c>
      <c r="M303" s="60" t="s">
        <v>20</v>
      </c>
      <c r="N303" s="60" t="s">
        <v>19</v>
      </c>
      <c r="O303" s="60" t="s">
        <v>25</v>
      </c>
      <c r="P303" s="60" t="s">
        <v>23</v>
      </c>
      <c r="Q303" s="60" t="s">
        <v>46</v>
      </c>
      <c r="R303" s="165"/>
      <c r="S303" s="70" t="s">
        <v>0</v>
      </c>
      <c r="T303" s="1">
        <v>272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66">
        <f t="shared" si="47"/>
        <v>272</v>
      </c>
      <c r="AA303" s="65">
        <v>2018</v>
      </c>
      <c r="AB303" s="9"/>
      <c r="AC303" s="111"/>
      <c r="AD303" s="111"/>
    </row>
    <row r="304" spans="1:30" ht="16.350000000000001" hidden="1" customHeight="1" x14ac:dyDescent="0.25">
      <c r="A304" s="60" t="s">
        <v>19</v>
      </c>
      <c r="B304" s="60" t="s">
        <v>19</v>
      </c>
      <c r="C304" s="60" t="s">
        <v>22</v>
      </c>
      <c r="D304" s="60" t="s">
        <v>19</v>
      </c>
      <c r="E304" s="60" t="s">
        <v>25</v>
      </c>
      <c r="F304" s="60" t="s">
        <v>19</v>
      </c>
      <c r="G304" s="60" t="s">
        <v>44</v>
      </c>
      <c r="H304" s="60" t="s">
        <v>20</v>
      </c>
      <c r="I304" s="60" t="s">
        <v>25</v>
      </c>
      <c r="J304" s="60" t="s">
        <v>19</v>
      </c>
      <c r="K304" s="60" t="s">
        <v>19</v>
      </c>
      <c r="L304" s="60" t="s">
        <v>21</v>
      </c>
      <c r="M304" s="60" t="s">
        <v>20</v>
      </c>
      <c r="N304" s="60" t="s">
        <v>19</v>
      </c>
      <c r="O304" s="60" t="s">
        <v>44</v>
      </c>
      <c r="P304" s="60" t="s">
        <v>23</v>
      </c>
      <c r="Q304" s="60" t="s">
        <v>196</v>
      </c>
      <c r="R304" s="165"/>
      <c r="S304" s="70" t="s">
        <v>0</v>
      </c>
      <c r="T304" s="1">
        <v>30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66">
        <f t="shared" si="47"/>
        <v>30</v>
      </c>
      <c r="AA304" s="65">
        <v>2018</v>
      </c>
      <c r="AB304" s="9"/>
      <c r="AC304" s="111"/>
      <c r="AD304" s="111"/>
    </row>
    <row r="305" spans="1:30" ht="16.350000000000001" hidden="1" customHeight="1" x14ac:dyDescent="0.25">
      <c r="A305" s="60" t="s">
        <v>19</v>
      </c>
      <c r="B305" s="60" t="s">
        <v>19</v>
      </c>
      <c r="C305" s="60" t="s">
        <v>22</v>
      </c>
      <c r="D305" s="60" t="s">
        <v>19</v>
      </c>
      <c r="E305" s="60" t="s">
        <v>25</v>
      </c>
      <c r="F305" s="60" t="s">
        <v>19</v>
      </c>
      <c r="G305" s="60" t="s">
        <v>44</v>
      </c>
      <c r="H305" s="60" t="s">
        <v>20</v>
      </c>
      <c r="I305" s="60" t="s">
        <v>25</v>
      </c>
      <c r="J305" s="60" t="s">
        <v>19</v>
      </c>
      <c r="K305" s="60" t="s">
        <v>19</v>
      </c>
      <c r="L305" s="60" t="s">
        <v>21</v>
      </c>
      <c r="M305" s="60" t="s">
        <v>38</v>
      </c>
      <c r="N305" s="60" t="s">
        <v>19</v>
      </c>
      <c r="O305" s="60" t="s">
        <v>25</v>
      </c>
      <c r="P305" s="60" t="s">
        <v>23</v>
      </c>
      <c r="Q305" s="60" t="s">
        <v>47</v>
      </c>
      <c r="R305" s="165"/>
      <c r="S305" s="70" t="s">
        <v>0</v>
      </c>
      <c r="T305" s="1">
        <v>47.3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66">
        <f t="shared" si="47"/>
        <v>47.3</v>
      </c>
      <c r="AA305" s="65">
        <v>2018</v>
      </c>
      <c r="AB305" s="9"/>
      <c r="AC305" s="111"/>
      <c r="AD305" s="111"/>
    </row>
    <row r="306" spans="1:30" ht="16.350000000000001" hidden="1" customHeight="1" x14ac:dyDescent="0.25">
      <c r="A306" s="60" t="s">
        <v>19</v>
      </c>
      <c r="B306" s="60" t="s">
        <v>19</v>
      </c>
      <c r="C306" s="60" t="s">
        <v>22</v>
      </c>
      <c r="D306" s="60" t="s">
        <v>19</v>
      </c>
      <c r="E306" s="60" t="s">
        <v>25</v>
      </c>
      <c r="F306" s="60" t="s">
        <v>19</v>
      </c>
      <c r="G306" s="60" t="s">
        <v>44</v>
      </c>
      <c r="H306" s="60" t="s">
        <v>20</v>
      </c>
      <c r="I306" s="60" t="s">
        <v>25</v>
      </c>
      <c r="J306" s="60" t="s">
        <v>19</v>
      </c>
      <c r="K306" s="60" t="s">
        <v>19</v>
      </c>
      <c r="L306" s="60" t="s">
        <v>21</v>
      </c>
      <c r="M306" s="60" t="s">
        <v>38</v>
      </c>
      <c r="N306" s="60" t="s">
        <v>19</v>
      </c>
      <c r="O306" s="60" t="s">
        <v>25</v>
      </c>
      <c r="P306" s="60" t="s">
        <v>23</v>
      </c>
      <c r="Q306" s="60" t="s">
        <v>47</v>
      </c>
      <c r="R306" s="165"/>
      <c r="S306" s="70" t="s">
        <v>0</v>
      </c>
      <c r="T306" s="1">
        <v>68.599999999999994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66">
        <f t="shared" si="47"/>
        <v>68.599999999999994</v>
      </c>
      <c r="AA306" s="65">
        <v>2018</v>
      </c>
      <c r="AB306" s="9"/>
      <c r="AC306" s="111"/>
      <c r="AD306" s="111"/>
    </row>
    <row r="307" spans="1:30" ht="16.350000000000001" hidden="1" customHeight="1" x14ac:dyDescent="0.25">
      <c r="A307" s="60" t="s">
        <v>19</v>
      </c>
      <c r="B307" s="60" t="s">
        <v>19</v>
      </c>
      <c r="C307" s="60" t="s">
        <v>22</v>
      </c>
      <c r="D307" s="60" t="s">
        <v>19</v>
      </c>
      <c r="E307" s="60" t="s">
        <v>25</v>
      </c>
      <c r="F307" s="60" t="s">
        <v>19</v>
      </c>
      <c r="G307" s="60" t="s">
        <v>44</v>
      </c>
      <c r="H307" s="60" t="s">
        <v>20</v>
      </c>
      <c r="I307" s="60" t="s">
        <v>25</v>
      </c>
      <c r="J307" s="60" t="s">
        <v>19</v>
      </c>
      <c r="K307" s="60" t="s">
        <v>19</v>
      </c>
      <c r="L307" s="60" t="s">
        <v>21</v>
      </c>
      <c r="M307" s="60" t="s">
        <v>38</v>
      </c>
      <c r="N307" s="60" t="s">
        <v>19</v>
      </c>
      <c r="O307" s="60" t="s">
        <v>25</v>
      </c>
      <c r="P307" s="60" t="s">
        <v>23</v>
      </c>
      <c r="Q307" s="60" t="s">
        <v>40</v>
      </c>
      <c r="R307" s="166"/>
      <c r="S307" s="70" t="s">
        <v>0</v>
      </c>
      <c r="T307" s="1">
        <v>268.5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66">
        <f t="shared" si="47"/>
        <v>268.5</v>
      </c>
      <c r="AA307" s="65">
        <v>2018</v>
      </c>
      <c r="AB307" s="9"/>
      <c r="AC307" s="111"/>
      <c r="AD307" s="111"/>
    </row>
    <row r="308" spans="1:30" ht="53.45" hidden="1" customHeight="1" x14ac:dyDescent="0.25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85" t="s">
        <v>247</v>
      </c>
      <c r="S308" s="93" t="s">
        <v>193</v>
      </c>
      <c r="T308" s="3">
        <v>285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6">
        <f t="shared" si="47"/>
        <v>285</v>
      </c>
      <c r="AA308" s="44">
        <v>2018</v>
      </c>
      <c r="AB308" s="9"/>
      <c r="AC308" s="111"/>
      <c r="AD308" s="111"/>
    </row>
    <row r="309" spans="1:30" ht="16.350000000000001" hidden="1" customHeight="1" x14ac:dyDescent="0.25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164" t="s">
        <v>248</v>
      </c>
      <c r="S309" s="70" t="s">
        <v>0</v>
      </c>
      <c r="T309" s="1">
        <f>SUM(T310:T314)</f>
        <v>657.90000000000009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66">
        <f t="shared" si="47"/>
        <v>657.90000000000009</v>
      </c>
      <c r="AA309" s="65">
        <v>2018</v>
      </c>
      <c r="AB309" s="9"/>
      <c r="AC309" s="111"/>
      <c r="AD309" s="111"/>
    </row>
    <row r="310" spans="1:30" ht="16.350000000000001" hidden="1" customHeight="1" x14ac:dyDescent="0.25">
      <c r="A310" s="60" t="s">
        <v>19</v>
      </c>
      <c r="B310" s="60" t="s">
        <v>19</v>
      </c>
      <c r="C310" s="60" t="s">
        <v>22</v>
      </c>
      <c r="D310" s="60" t="s">
        <v>19</v>
      </c>
      <c r="E310" s="60" t="s">
        <v>22</v>
      </c>
      <c r="F310" s="60" t="s">
        <v>19</v>
      </c>
      <c r="G310" s="60" t="s">
        <v>23</v>
      </c>
      <c r="H310" s="60" t="s">
        <v>20</v>
      </c>
      <c r="I310" s="60" t="s">
        <v>25</v>
      </c>
      <c r="J310" s="60" t="s">
        <v>19</v>
      </c>
      <c r="K310" s="60" t="s">
        <v>19</v>
      </c>
      <c r="L310" s="60" t="s">
        <v>21</v>
      </c>
      <c r="M310" s="60" t="s">
        <v>20</v>
      </c>
      <c r="N310" s="60" t="s">
        <v>19</v>
      </c>
      <c r="O310" s="60" t="s">
        <v>25</v>
      </c>
      <c r="P310" s="60" t="s">
        <v>23</v>
      </c>
      <c r="Q310" s="60" t="s">
        <v>46</v>
      </c>
      <c r="R310" s="165"/>
      <c r="S310" s="70" t="s">
        <v>0</v>
      </c>
      <c r="T310" s="1">
        <v>263.10000000000002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66">
        <f t="shared" si="47"/>
        <v>263.10000000000002</v>
      </c>
      <c r="AA310" s="65">
        <v>2018</v>
      </c>
      <c r="AB310" s="9"/>
      <c r="AC310" s="111"/>
      <c r="AD310" s="111"/>
    </row>
    <row r="311" spans="1:30" ht="16.350000000000001" hidden="1" customHeight="1" x14ac:dyDescent="0.25">
      <c r="A311" s="60" t="s">
        <v>19</v>
      </c>
      <c r="B311" s="60" t="s">
        <v>19</v>
      </c>
      <c r="C311" s="60" t="s">
        <v>22</v>
      </c>
      <c r="D311" s="60" t="s">
        <v>19</v>
      </c>
      <c r="E311" s="60" t="s">
        <v>22</v>
      </c>
      <c r="F311" s="60" t="s">
        <v>19</v>
      </c>
      <c r="G311" s="60" t="s">
        <v>23</v>
      </c>
      <c r="H311" s="60" t="s">
        <v>20</v>
      </c>
      <c r="I311" s="60" t="s">
        <v>25</v>
      </c>
      <c r="J311" s="60" t="s">
        <v>19</v>
      </c>
      <c r="K311" s="60" t="s">
        <v>19</v>
      </c>
      <c r="L311" s="60" t="s">
        <v>21</v>
      </c>
      <c r="M311" s="60" t="s">
        <v>20</v>
      </c>
      <c r="N311" s="60" t="s">
        <v>19</v>
      </c>
      <c r="O311" s="60" t="s">
        <v>44</v>
      </c>
      <c r="P311" s="60" t="s">
        <v>23</v>
      </c>
      <c r="Q311" s="60" t="s">
        <v>196</v>
      </c>
      <c r="R311" s="165"/>
      <c r="S311" s="70" t="s">
        <v>0</v>
      </c>
      <c r="T311" s="1">
        <v>40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66">
        <f>SUM(T311:Y311)</f>
        <v>40</v>
      </c>
      <c r="AA311" s="65">
        <v>2018</v>
      </c>
      <c r="AB311" s="9"/>
      <c r="AC311" s="111"/>
      <c r="AD311" s="111"/>
    </row>
    <row r="312" spans="1:30" ht="16.350000000000001" hidden="1" customHeight="1" x14ac:dyDescent="0.25">
      <c r="A312" s="60" t="s">
        <v>19</v>
      </c>
      <c r="B312" s="60" t="s">
        <v>19</v>
      </c>
      <c r="C312" s="60" t="s">
        <v>22</v>
      </c>
      <c r="D312" s="60" t="s">
        <v>19</v>
      </c>
      <c r="E312" s="60" t="s">
        <v>22</v>
      </c>
      <c r="F312" s="60" t="s">
        <v>19</v>
      </c>
      <c r="G312" s="60" t="s">
        <v>23</v>
      </c>
      <c r="H312" s="60" t="s">
        <v>20</v>
      </c>
      <c r="I312" s="60" t="s">
        <v>25</v>
      </c>
      <c r="J312" s="60" t="s">
        <v>19</v>
      </c>
      <c r="K312" s="60" t="s">
        <v>19</v>
      </c>
      <c r="L312" s="60" t="s">
        <v>21</v>
      </c>
      <c r="M312" s="60" t="s">
        <v>38</v>
      </c>
      <c r="N312" s="60" t="s">
        <v>19</v>
      </c>
      <c r="O312" s="60" t="s">
        <v>25</v>
      </c>
      <c r="P312" s="60" t="s">
        <v>23</v>
      </c>
      <c r="Q312" s="60" t="s">
        <v>47</v>
      </c>
      <c r="R312" s="165"/>
      <c r="S312" s="70" t="s">
        <v>0</v>
      </c>
      <c r="T312" s="1">
        <v>5.7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66">
        <f t="shared" si="47"/>
        <v>5.7</v>
      </c>
      <c r="AA312" s="65">
        <v>2018</v>
      </c>
      <c r="AB312" s="9"/>
      <c r="AC312" s="111"/>
      <c r="AD312" s="111"/>
    </row>
    <row r="313" spans="1:30" ht="16.350000000000001" hidden="1" customHeight="1" x14ac:dyDescent="0.25">
      <c r="A313" s="60" t="s">
        <v>19</v>
      </c>
      <c r="B313" s="60" t="s">
        <v>19</v>
      </c>
      <c r="C313" s="60" t="s">
        <v>22</v>
      </c>
      <c r="D313" s="60" t="s">
        <v>19</v>
      </c>
      <c r="E313" s="60" t="s">
        <v>22</v>
      </c>
      <c r="F313" s="60" t="s">
        <v>19</v>
      </c>
      <c r="G313" s="60" t="s">
        <v>23</v>
      </c>
      <c r="H313" s="60" t="s">
        <v>20</v>
      </c>
      <c r="I313" s="60" t="s">
        <v>25</v>
      </c>
      <c r="J313" s="60" t="s">
        <v>19</v>
      </c>
      <c r="K313" s="60" t="s">
        <v>19</v>
      </c>
      <c r="L313" s="60" t="s">
        <v>21</v>
      </c>
      <c r="M313" s="60" t="s">
        <v>38</v>
      </c>
      <c r="N313" s="60" t="s">
        <v>19</v>
      </c>
      <c r="O313" s="60" t="s">
        <v>25</v>
      </c>
      <c r="P313" s="60" t="s">
        <v>23</v>
      </c>
      <c r="Q313" s="60" t="s">
        <v>47</v>
      </c>
      <c r="R313" s="165"/>
      <c r="S313" s="70" t="s">
        <v>0</v>
      </c>
      <c r="T313" s="1">
        <v>98.8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66">
        <f t="shared" si="47"/>
        <v>98.8</v>
      </c>
      <c r="AA313" s="65">
        <v>2018</v>
      </c>
      <c r="AB313" s="9"/>
      <c r="AC313" s="111"/>
      <c r="AD313" s="111"/>
    </row>
    <row r="314" spans="1:30" ht="16.350000000000001" hidden="1" customHeight="1" x14ac:dyDescent="0.25">
      <c r="A314" s="60" t="s">
        <v>19</v>
      </c>
      <c r="B314" s="60" t="s">
        <v>19</v>
      </c>
      <c r="C314" s="60" t="s">
        <v>22</v>
      </c>
      <c r="D314" s="60" t="s">
        <v>19</v>
      </c>
      <c r="E314" s="60" t="s">
        <v>22</v>
      </c>
      <c r="F314" s="60" t="s">
        <v>19</v>
      </c>
      <c r="G314" s="60" t="s">
        <v>23</v>
      </c>
      <c r="H314" s="60" t="s">
        <v>20</v>
      </c>
      <c r="I314" s="60" t="s">
        <v>25</v>
      </c>
      <c r="J314" s="60" t="s">
        <v>19</v>
      </c>
      <c r="K314" s="60" t="s">
        <v>19</v>
      </c>
      <c r="L314" s="60" t="s">
        <v>21</v>
      </c>
      <c r="M314" s="60" t="s">
        <v>38</v>
      </c>
      <c r="N314" s="60" t="s">
        <v>19</v>
      </c>
      <c r="O314" s="60" t="s">
        <v>25</v>
      </c>
      <c r="P314" s="60" t="s">
        <v>23</v>
      </c>
      <c r="Q314" s="60" t="s">
        <v>40</v>
      </c>
      <c r="R314" s="166"/>
      <c r="S314" s="70" t="s">
        <v>0</v>
      </c>
      <c r="T314" s="1">
        <v>250.3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66">
        <f t="shared" si="47"/>
        <v>250.3</v>
      </c>
      <c r="AA314" s="65">
        <v>2018</v>
      </c>
      <c r="AB314" s="9"/>
      <c r="AC314" s="111"/>
      <c r="AD314" s="111"/>
    </row>
    <row r="315" spans="1:30" ht="37.15" hidden="1" customHeight="1" x14ac:dyDescent="0.25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87" t="s">
        <v>249</v>
      </c>
      <c r="S315" s="93" t="s">
        <v>193</v>
      </c>
      <c r="T315" s="3">
        <v>443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6">
        <f t="shared" si="47"/>
        <v>443</v>
      </c>
      <c r="AA315" s="44">
        <v>2018</v>
      </c>
      <c r="AB315" s="9"/>
      <c r="AC315" s="111"/>
      <c r="AD315" s="111"/>
    </row>
    <row r="316" spans="1:30" ht="18.600000000000001" hidden="1" customHeight="1" x14ac:dyDescent="0.25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164" t="s">
        <v>250</v>
      </c>
      <c r="S316" s="70" t="s">
        <v>0</v>
      </c>
      <c r="T316" s="1">
        <f>SUM(T317:T321)</f>
        <v>1100.4000000000001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66">
        <f t="shared" si="47"/>
        <v>1100.4000000000001</v>
      </c>
      <c r="AA316" s="65">
        <v>2018</v>
      </c>
      <c r="AB316" s="9"/>
      <c r="AC316" s="111"/>
      <c r="AD316" s="111"/>
    </row>
    <row r="317" spans="1:30" ht="16.350000000000001" hidden="1" customHeight="1" x14ac:dyDescent="0.25">
      <c r="A317" s="60" t="s">
        <v>19</v>
      </c>
      <c r="B317" s="60" t="s">
        <v>19</v>
      </c>
      <c r="C317" s="60" t="s">
        <v>22</v>
      </c>
      <c r="D317" s="60" t="s">
        <v>19</v>
      </c>
      <c r="E317" s="60" t="s">
        <v>22</v>
      </c>
      <c r="F317" s="60" t="s">
        <v>19</v>
      </c>
      <c r="G317" s="60" t="s">
        <v>23</v>
      </c>
      <c r="H317" s="60" t="s">
        <v>20</v>
      </c>
      <c r="I317" s="60" t="s">
        <v>25</v>
      </c>
      <c r="J317" s="60" t="s">
        <v>19</v>
      </c>
      <c r="K317" s="60" t="s">
        <v>19</v>
      </c>
      <c r="L317" s="60" t="s">
        <v>21</v>
      </c>
      <c r="M317" s="60" t="s">
        <v>20</v>
      </c>
      <c r="N317" s="60" t="s">
        <v>19</v>
      </c>
      <c r="O317" s="60" t="s">
        <v>25</v>
      </c>
      <c r="P317" s="60" t="s">
        <v>23</v>
      </c>
      <c r="Q317" s="60" t="s">
        <v>46</v>
      </c>
      <c r="R317" s="165"/>
      <c r="S317" s="70" t="s">
        <v>0</v>
      </c>
      <c r="T317" s="1">
        <v>400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66">
        <f t="shared" si="47"/>
        <v>400</v>
      </c>
      <c r="AA317" s="65">
        <v>2018</v>
      </c>
      <c r="AB317" s="9"/>
      <c r="AC317" s="111"/>
      <c r="AD317" s="111"/>
    </row>
    <row r="318" spans="1:30" ht="16.350000000000001" hidden="1" customHeight="1" x14ac:dyDescent="0.25">
      <c r="A318" s="60" t="s">
        <v>19</v>
      </c>
      <c r="B318" s="60" t="s">
        <v>19</v>
      </c>
      <c r="C318" s="60" t="s">
        <v>22</v>
      </c>
      <c r="D318" s="60" t="s">
        <v>19</v>
      </c>
      <c r="E318" s="60" t="s">
        <v>22</v>
      </c>
      <c r="F318" s="60" t="s">
        <v>19</v>
      </c>
      <c r="G318" s="60" t="s">
        <v>23</v>
      </c>
      <c r="H318" s="60" t="s">
        <v>20</v>
      </c>
      <c r="I318" s="60" t="s">
        <v>25</v>
      </c>
      <c r="J318" s="60" t="s">
        <v>19</v>
      </c>
      <c r="K318" s="60" t="s">
        <v>19</v>
      </c>
      <c r="L318" s="60" t="s">
        <v>21</v>
      </c>
      <c r="M318" s="60" t="s">
        <v>20</v>
      </c>
      <c r="N318" s="60" t="s">
        <v>19</v>
      </c>
      <c r="O318" s="60" t="s">
        <v>44</v>
      </c>
      <c r="P318" s="60" t="s">
        <v>23</v>
      </c>
      <c r="Q318" s="60" t="s">
        <v>196</v>
      </c>
      <c r="R318" s="165"/>
      <c r="S318" s="70" t="s">
        <v>0</v>
      </c>
      <c r="T318" s="1">
        <v>40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66">
        <f t="shared" si="47"/>
        <v>40</v>
      </c>
      <c r="AA318" s="65">
        <v>2018</v>
      </c>
      <c r="AB318" s="9"/>
      <c r="AC318" s="111"/>
      <c r="AD318" s="111"/>
    </row>
    <row r="319" spans="1:30" ht="16.350000000000001" hidden="1" customHeight="1" x14ac:dyDescent="0.25">
      <c r="A319" s="60" t="s">
        <v>19</v>
      </c>
      <c r="B319" s="60" t="s">
        <v>19</v>
      </c>
      <c r="C319" s="60" t="s">
        <v>22</v>
      </c>
      <c r="D319" s="60" t="s">
        <v>19</v>
      </c>
      <c r="E319" s="60" t="s">
        <v>22</v>
      </c>
      <c r="F319" s="60" t="s">
        <v>19</v>
      </c>
      <c r="G319" s="60" t="s">
        <v>23</v>
      </c>
      <c r="H319" s="60" t="s">
        <v>20</v>
      </c>
      <c r="I319" s="60" t="s">
        <v>25</v>
      </c>
      <c r="J319" s="60" t="s">
        <v>19</v>
      </c>
      <c r="K319" s="60" t="s">
        <v>19</v>
      </c>
      <c r="L319" s="60" t="s">
        <v>21</v>
      </c>
      <c r="M319" s="60" t="s">
        <v>38</v>
      </c>
      <c r="N319" s="60" t="s">
        <v>19</v>
      </c>
      <c r="O319" s="60" t="s">
        <v>25</v>
      </c>
      <c r="P319" s="60" t="s">
        <v>23</v>
      </c>
      <c r="Q319" s="60" t="s">
        <v>47</v>
      </c>
      <c r="R319" s="165"/>
      <c r="S319" s="70" t="s">
        <v>0</v>
      </c>
      <c r="T319" s="1">
        <v>30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66">
        <f t="shared" si="47"/>
        <v>30</v>
      </c>
      <c r="AA319" s="65">
        <v>2018</v>
      </c>
      <c r="AB319" s="9"/>
      <c r="AC319" s="111"/>
      <c r="AD319" s="111"/>
    </row>
    <row r="320" spans="1:30" ht="16.350000000000001" hidden="1" customHeight="1" x14ac:dyDescent="0.25">
      <c r="A320" s="60" t="s">
        <v>19</v>
      </c>
      <c r="B320" s="60" t="s">
        <v>19</v>
      </c>
      <c r="C320" s="60" t="s">
        <v>22</v>
      </c>
      <c r="D320" s="60" t="s">
        <v>19</v>
      </c>
      <c r="E320" s="60" t="s">
        <v>22</v>
      </c>
      <c r="F320" s="60" t="s">
        <v>19</v>
      </c>
      <c r="G320" s="60" t="s">
        <v>23</v>
      </c>
      <c r="H320" s="60" t="s">
        <v>20</v>
      </c>
      <c r="I320" s="60" t="s">
        <v>25</v>
      </c>
      <c r="J320" s="60" t="s">
        <v>19</v>
      </c>
      <c r="K320" s="60" t="s">
        <v>19</v>
      </c>
      <c r="L320" s="60" t="s">
        <v>21</v>
      </c>
      <c r="M320" s="60" t="s">
        <v>38</v>
      </c>
      <c r="N320" s="60" t="s">
        <v>19</v>
      </c>
      <c r="O320" s="60" t="s">
        <v>25</v>
      </c>
      <c r="P320" s="60" t="s">
        <v>23</v>
      </c>
      <c r="Q320" s="60" t="s">
        <v>47</v>
      </c>
      <c r="R320" s="165"/>
      <c r="S320" s="70" t="s">
        <v>0</v>
      </c>
      <c r="T320" s="1">
        <v>166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66">
        <f t="shared" si="47"/>
        <v>166</v>
      </c>
      <c r="AA320" s="65">
        <v>2018</v>
      </c>
      <c r="AB320" s="9"/>
      <c r="AC320" s="111"/>
      <c r="AD320" s="111"/>
    </row>
    <row r="321" spans="1:30" ht="16.350000000000001" hidden="1" customHeight="1" x14ac:dyDescent="0.25">
      <c r="A321" s="60" t="s">
        <v>19</v>
      </c>
      <c r="B321" s="60" t="s">
        <v>19</v>
      </c>
      <c r="C321" s="60" t="s">
        <v>22</v>
      </c>
      <c r="D321" s="60" t="s">
        <v>19</v>
      </c>
      <c r="E321" s="60" t="s">
        <v>22</v>
      </c>
      <c r="F321" s="60" t="s">
        <v>19</v>
      </c>
      <c r="G321" s="60" t="s">
        <v>23</v>
      </c>
      <c r="H321" s="60" t="s">
        <v>20</v>
      </c>
      <c r="I321" s="60" t="s">
        <v>25</v>
      </c>
      <c r="J321" s="60" t="s">
        <v>19</v>
      </c>
      <c r="K321" s="60" t="s">
        <v>19</v>
      </c>
      <c r="L321" s="60" t="s">
        <v>21</v>
      </c>
      <c r="M321" s="60" t="s">
        <v>38</v>
      </c>
      <c r="N321" s="60" t="s">
        <v>19</v>
      </c>
      <c r="O321" s="60" t="s">
        <v>25</v>
      </c>
      <c r="P321" s="60" t="s">
        <v>23</v>
      </c>
      <c r="Q321" s="60" t="s">
        <v>40</v>
      </c>
      <c r="R321" s="166"/>
      <c r="S321" s="70" t="s">
        <v>0</v>
      </c>
      <c r="T321" s="1">
        <v>464.4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66">
        <f t="shared" si="47"/>
        <v>464.4</v>
      </c>
      <c r="AA321" s="65">
        <v>2018</v>
      </c>
      <c r="AB321" s="9"/>
      <c r="AC321" s="111"/>
      <c r="AD321" s="111"/>
    </row>
    <row r="322" spans="1:30" ht="37.15" hidden="1" customHeight="1" x14ac:dyDescent="0.25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87" t="s">
        <v>251</v>
      </c>
      <c r="S322" s="93" t="s">
        <v>193</v>
      </c>
      <c r="T322" s="3">
        <v>930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  <c r="Z322" s="6">
        <f t="shared" si="47"/>
        <v>930</v>
      </c>
      <c r="AA322" s="44">
        <v>2018</v>
      </c>
      <c r="AB322" s="9"/>
      <c r="AC322" s="111"/>
      <c r="AD322" s="111"/>
    </row>
    <row r="323" spans="1:30" ht="22.15" hidden="1" customHeight="1" x14ac:dyDescent="0.25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164" t="s">
        <v>252</v>
      </c>
      <c r="S323" s="70" t="s">
        <v>0</v>
      </c>
      <c r="T323" s="1">
        <f>SUM(T324:T328)</f>
        <v>1421.6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66">
        <f t="shared" si="47"/>
        <v>1421.6</v>
      </c>
      <c r="AA323" s="65">
        <v>2018</v>
      </c>
      <c r="AB323" s="9"/>
      <c r="AC323" s="111"/>
      <c r="AD323" s="111"/>
    </row>
    <row r="324" spans="1:30" ht="16.350000000000001" hidden="1" customHeight="1" x14ac:dyDescent="0.25">
      <c r="A324" s="60" t="s">
        <v>19</v>
      </c>
      <c r="B324" s="60" t="s">
        <v>19</v>
      </c>
      <c r="C324" s="60" t="s">
        <v>22</v>
      </c>
      <c r="D324" s="60" t="s">
        <v>19</v>
      </c>
      <c r="E324" s="60" t="s">
        <v>22</v>
      </c>
      <c r="F324" s="60" t="s">
        <v>19</v>
      </c>
      <c r="G324" s="60" t="s">
        <v>23</v>
      </c>
      <c r="H324" s="60" t="s">
        <v>20</v>
      </c>
      <c r="I324" s="60" t="s">
        <v>25</v>
      </c>
      <c r="J324" s="60" t="s">
        <v>19</v>
      </c>
      <c r="K324" s="60" t="s">
        <v>19</v>
      </c>
      <c r="L324" s="60" t="s">
        <v>21</v>
      </c>
      <c r="M324" s="60" t="s">
        <v>20</v>
      </c>
      <c r="N324" s="60" t="s">
        <v>19</v>
      </c>
      <c r="O324" s="60" t="s">
        <v>25</v>
      </c>
      <c r="P324" s="60" t="s">
        <v>23</v>
      </c>
      <c r="Q324" s="60" t="s">
        <v>46</v>
      </c>
      <c r="R324" s="165"/>
      <c r="S324" s="70" t="s">
        <v>0</v>
      </c>
      <c r="T324" s="1">
        <v>400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66">
        <f t="shared" si="47"/>
        <v>400</v>
      </c>
      <c r="AA324" s="65">
        <v>2018</v>
      </c>
      <c r="AB324" s="9"/>
      <c r="AC324" s="111"/>
      <c r="AD324" s="111"/>
    </row>
    <row r="325" spans="1:30" ht="16.350000000000001" hidden="1" customHeight="1" x14ac:dyDescent="0.25">
      <c r="A325" s="60" t="s">
        <v>19</v>
      </c>
      <c r="B325" s="60" t="s">
        <v>19</v>
      </c>
      <c r="C325" s="60" t="s">
        <v>22</v>
      </c>
      <c r="D325" s="60" t="s">
        <v>19</v>
      </c>
      <c r="E325" s="60" t="s">
        <v>22</v>
      </c>
      <c r="F325" s="60" t="s">
        <v>19</v>
      </c>
      <c r="G325" s="60" t="s">
        <v>23</v>
      </c>
      <c r="H325" s="60" t="s">
        <v>20</v>
      </c>
      <c r="I325" s="60" t="s">
        <v>25</v>
      </c>
      <c r="J325" s="60" t="s">
        <v>19</v>
      </c>
      <c r="K325" s="60" t="s">
        <v>19</v>
      </c>
      <c r="L325" s="60" t="s">
        <v>21</v>
      </c>
      <c r="M325" s="60" t="s">
        <v>20</v>
      </c>
      <c r="N325" s="60" t="s">
        <v>19</v>
      </c>
      <c r="O325" s="60" t="s">
        <v>44</v>
      </c>
      <c r="P325" s="60" t="s">
        <v>23</v>
      </c>
      <c r="Q325" s="60" t="s">
        <v>196</v>
      </c>
      <c r="R325" s="165"/>
      <c r="S325" s="70" t="s">
        <v>0</v>
      </c>
      <c r="T325" s="1">
        <v>50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66">
        <f>SUM(T325:Y325)</f>
        <v>50</v>
      </c>
      <c r="AA325" s="65">
        <v>2018</v>
      </c>
      <c r="AB325" s="9"/>
      <c r="AC325" s="111"/>
      <c r="AD325" s="111"/>
    </row>
    <row r="326" spans="1:30" ht="16.350000000000001" hidden="1" customHeight="1" x14ac:dyDescent="0.25">
      <c r="A326" s="60" t="s">
        <v>19</v>
      </c>
      <c r="B326" s="60" t="s">
        <v>19</v>
      </c>
      <c r="C326" s="60" t="s">
        <v>22</v>
      </c>
      <c r="D326" s="60" t="s">
        <v>19</v>
      </c>
      <c r="E326" s="60" t="s">
        <v>22</v>
      </c>
      <c r="F326" s="60" t="s">
        <v>19</v>
      </c>
      <c r="G326" s="60" t="s">
        <v>23</v>
      </c>
      <c r="H326" s="60" t="s">
        <v>20</v>
      </c>
      <c r="I326" s="60" t="s">
        <v>25</v>
      </c>
      <c r="J326" s="60" t="s">
        <v>19</v>
      </c>
      <c r="K326" s="60" t="s">
        <v>19</v>
      </c>
      <c r="L326" s="60" t="s">
        <v>21</v>
      </c>
      <c r="M326" s="60" t="s">
        <v>38</v>
      </c>
      <c r="N326" s="60" t="s">
        <v>19</v>
      </c>
      <c r="O326" s="60" t="s">
        <v>25</v>
      </c>
      <c r="P326" s="60" t="s">
        <v>23</v>
      </c>
      <c r="Q326" s="60" t="s">
        <v>47</v>
      </c>
      <c r="R326" s="165"/>
      <c r="S326" s="70" t="s">
        <v>0</v>
      </c>
      <c r="T326" s="1">
        <v>83.1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66">
        <f t="shared" si="47"/>
        <v>83.1</v>
      </c>
      <c r="AA326" s="65">
        <v>2018</v>
      </c>
      <c r="AB326" s="9"/>
      <c r="AC326" s="111"/>
      <c r="AD326" s="111"/>
    </row>
    <row r="327" spans="1:30" ht="16.350000000000001" hidden="1" customHeight="1" x14ac:dyDescent="0.25">
      <c r="A327" s="60" t="s">
        <v>19</v>
      </c>
      <c r="B327" s="60" t="s">
        <v>19</v>
      </c>
      <c r="C327" s="60" t="s">
        <v>22</v>
      </c>
      <c r="D327" s="60" t="s">
        <v>19</v>
      </c>
      <c r="E327" s="60" t="s">
        <v>22</v>
      </c>
      <c r="F327" s="60" t="s">
        <v>19</v>
      </c>
      <c r="G327" s="60" t="s">
        <v>23</v>
      </c>
      <c r="H327" s="60" t="s">
        <v>20</v>
      </c>
      <c r="I327" s="60" t="s">
        <v>25</v>
      </c>
      <c r="J327" s="60" t="s">
        <v>19</v>
      </c>
      <c r="K327" s="60" t="s">
        <v>19</v>
      </c>
      <c r="L327" s="60" t="s">
        <v>21</v>
      </c>
      <c r="M327" s="60" t="s">
        <v>38</v>
      </c>
      <c r="N327" s="60" t="s">
        <v>19</v>
      </c>
      <c r="O327" s="60" t="s">
        <v>25</v>
      </c>
      <c r="P327" s="60" t="s">
        <v>23</v>
      </c>
      <c r="Q327" s="60" t="s">
        <v>47</v>
      </c>
      <c r="R327" s="165"/>
      <c r="S327" s="70" t="s">
        <v>0</v>
      </c>
      <c r="T327" s="1">
        <v>143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66">
        <f t="shared" si="47"/>
        <v>143</v>
      </c>
      <c r="AA327" s="65">
        <v>2018</v>
      </c>
      <c r="AB327" s="9"/>
      <c r="AC327" s="111"/>
      <c r="AD327" s="111"/>
    </row>
    <row r="328" spans="1:30" ht="16.350000000000001" hidden="1" customHeight="1" x14ac:dyDescent="0.25">
      <c r="A328" s="60" t="s">
        <v>19</v>
      </c>
      <c r="B328" s="60" t="s">
        <v>19</v>
      </c>
      <c r="C328" s="60" t="s">
        <v>22</v>
      </c>
      <c r="D328" s="60" t="s">
        <v>19</v>
      </c>
      <c r="E328" s="60" t="s">
        <v>22</v>
      </c>
      <c r="F328" s="60" t="s">
        <v>19</v>
      </c>
      <c r="G328" s="60" t="s">
        <v>23</v>
      </c>
      <c r="H328" s="60" t="s">
        <v>20</v>
      </c>
      <c r="I328" s="60" t="s">
        <v>25</v>
      </c>
      <c r="J328" s="60" t="s">
        <v>19</v>
      </c>
      <c r="K328" s="60" t="s">
        <v>19</v>
      </c>
      <c r="L328" s="60" t="s">
        <v>21</v>
      </c>
      <c r="M328" s="60" t="s">
        <v>38</v>
      </c>
      <c r="N328" s="60" t="s">
        <v>19</v>
      </c>
      <c r="O328" s="60" t="s">
        <v>25</v>
      </c>
      <c r="P328" s="60" t="s">
        <v>23</v>
      </c>
      <c r="Q328" s="60" t="s">
        <v>40</v>
      </c>
      <c r="R328" s="166"/>
      <c r="S328" s="70" t="s">
        <v>0</v>
      </c>
      <c r="T328" s="1">
        <v>745.5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66">
        <f t="shared" si="47"/>
        <v>745.5</v>
      </c>
      <c r="AA328" s="65">
        <v>2018</v>
      </c>
      <c r="AB328" s="9"/>
      <c r="AC328" s="111"/>
      <c r="AD328" s="111"/>
    </row>
    <row r="329" spans="1:30" ht="36.6" hidden="1" customHeight="1" x14ac:dyDescent="0.25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87" t="s">
        <v>253</v>
      </c>
      <c r="S329" s="93" t="s">
        <v>193</v>
      </c>
      <c r="T329" s="3">
        <v>1070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6">
        <f t="shared" si="47"/>
        <v>1070</v>
      </c>
      <c r="AA329" s="44">
        <v>2018</v>
      </c>
      <c r="AB329" s="9"/>
      <c r="AC329" s="111"/>
      <c r="AD329" s="111"/>
    </row>
    <row r="330" spans="1:30" ht="19.899999999999999" hidden="1" customHeight="1" x14ac:dyDescent="0.25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164" t="s">
        <v>254</v>
      </c>
      <c r="S330" s="70" t="s">
        <v>0</v>
      </c>
      <c r="T330" s="1">
        <f>SUM(T331:T335)</f>
        <v>263.89999999999998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66">
        <f t="shared" si="47"/>
        <v>263.89999999999998</v>
      </c>
      <c r="AA330" s="65">
        <v>2018</v>
      </c>
      <c r="AB330" s="9"/>
      <c r="AC330" s="111"/>
      <c r="AD330" s="111"/>
    </row>
    <row r="331" spans="1:30" ht="16.350000000000001" hidden="1" customHeight="1" x14ac:dyDescent="0.25">
      <c r="A331" s="60" t="s">
        <v>19</v>
      </c>
      <c r="B331" s="60" t="s">
        <v>19</v>
      </c>
      <c r="C331" s="60" t="s">
        <v>22</v>
      </c>
      <c r="D331" s="60" t="s">
        <v>19</v>
      </c>
      <c r="E331" s="60" t="s">
        <v>22</v>
      </c>
      <c r="F331" s="60" t="s">
        <v>19</v>
      </c>
      <c r="G331" s="60" t="s">
        <v>23</v>
      </c>
      <c r="H331" s="60" t="s">
        <v>20</v>
      </c>
      <c r="I331" s="60" t="s">
        <v>25</v>
      </c>
      <c r="J331" s="60" t="s">
        <v>19</v>
      </c>
      <c r="K331" s="60" t="s">
        <v>19</v>
      </c>
      <c r="L331" s="60" t="s">
        <v>21</v>
      </c>
      <c r="M331" s="60" t="s">
        <v>20</v>
      </c>
      <c r="N331" s="60" t="s">
        <v>19</v>
      </c>
      <c r="O331" s="60" t="s">
        <v>25</v>
      </c>
      <c r="P331" s="60" t="s">
        <v>23</v>
      </c>
      <c r="Q331" s="60" t="s">
        <v>46</v>
      </c>
      <c r="R331" s="165"/>
      <c r="S331" s="70" t="s">
        <v>0</v>
      </c>
      <c r="T331" s="1">
        <v>105.5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66">
        <f t="shared" si="47"/>
        <v>105.5</v>
      </c>
      <c r="AA331" s="65">
        <v>2018</v>
      </c>
      <c r="AB331" s="9"/>
      <c r="AC331" s="111"/>
      <c r="AD331" s="111"/>
    </row>
    <row r="332" spans="1:30" ht="16.350000000000001" hidden="1" customHeight="1" x14ac:dyDescent="0.25">
      <c r="A332" s="60" t="s">
        <v>19</v>
      </c>
      <c r="B332" s="60" t="s">
        <v>19</v>
      </c>
      <c r="C332" s="60" t="s">
        <v>22</v>
      </c>
      <c r="D332" s="60" t="s">
        <v>19</v>
      </c>
      <c r="E332" s="60" t="s">
        <v>22</v>
      </c>
      <c r="F332" s="60" t="s">
        <v>19</v>
      </c>
      <c r="G332" s="60" t="s">
        <v>23</v>
      </c>
      <c r="H332" s="60" t="s">
        <v>20</v>
      </c>
      <c r="I332" s="60" t="s">
        <v>25</v>
      </c>
      <c r="J332" s="60" t="s">
        <v>19</v>
      </c>
      <c r="K332" s="60" t="s">
        <v>19</v>
      </c>
      <c r="L332" s="60" t="s">
        <v>21</v>
      </c>
      <c r="M332" s="60" t="s">
        <v>20</v>
      </c>
      <c r="N332" s="60" t="s">
        <v>19</v>
      </c>
      <c r="O332" s="60" t="s">
        <v>44</v>
      </c>
      <c r="P332" s="60" t="s">
        <v>23</v>
      </c>
      <c r="Q332" s="60" t="s">
        <v>196</v>
      </c>
      <c r="R332" s="165"/>
      <c r="S332" s="70" t="s">
        <v>0</v>
      </c>
      <c r="T332" s="1">
        <v>20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66">
        <f t="shared" si="47"/>
        <v>20</v>
      </c>
      <c r="AA332" s="65">
        <v>2018</v>
      </c>
      <c r="AB332" s="9"/>
      <c r="AC332" s="111"/>
      <c r="AD332" s="111"/>
    </row>
    <row r="333" spans="1:30" ht="16.350000000000001" hidden="1" customHeight="1" x14ac:dyDescent="0.25">
      <c r="A333" s="60" t="s">
        <v>19</v>
      </c>
      <c r="B333" s="60" t="s">
        <v>19</v>
      </c>
      <c r="C333" s="60" t="s">
        <v>22</v>
      </c>
      <c r="D333" s="60" t="s">
        <v>19</v>
      </c>
      <c r="E333" s="60" t="s">
        <v>22</v>
      </c>
      <c r="F333" s="60" t="s">
        <v>19</v>
      </c>
      <c r="G333" s="60" t="s">
        <v>23</v>
      </c>
      <c r="H333" s="60" t="s">
        <v>20</v>
      </c>
      <c r="I333" s="60" t="s">
        <v>25</v>
      </c>
      <c r="J333" s="60" t="s">
        <v>19</v>
      </c>
      <c r="K333" s="60" t="s">
        <v>19</v>
      </c>
      <c r="L333" s="60" t="s">
        <v>21</v>
      </c>
      <c r="M333" s="60" t="s">
        <v>38</v>
      </c>
      <c r="N333" s="60" t="s">
        <v>19</v>
      </c>
      <c r="O333" s="60" t="s">
        <v>25</v>
      </c>
      <c r="P333" s="60" t="s">
        <v>23</v>
      </c>
      <c r="Q333" s="60" t="s">
        <v>47</v>
      </c>
      <c r="R333" s="165"/>
      <c r="S333" s="70" t="s">
        <v>0</v>
      </c>
      <c r="T333" s="1">
        <v>19.399999999999999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66">
        <f t="shared" si="47"/>
        <v>19.399999999999999</v>
      </c>
      <c r="AA333" s="65">
        <v>2018</v>
      </c>
      <c r="AB333" s="9"/>
      <c r="AC333" s="111"/>
      <c r="AD333" s="111"/>
    </row>
    <row r="334" spans="1:30" ht="16.350000000000001" hidden="1" customHeight="1" x14ac:dyDescent="0.25">
      <c r="A334" s="60" t="s">
        <v>19</v>
      </c>
      <c r="B334" s="60" t="s">
        <v>19</v>
      </c>
      <c r="C334" s="60" t="s">
        <v>22</v>
      </c>
      <c r="D334" s="60" t="s">
        <v>19</v>
      </c>
      <c r="E334" s="60" t="s">
        <v>22</v>
      </c>
      <c r="F334" s="60" t="s">
        <v>19</v>
      </c>
      <c r="G334" s="60" t="s">
        <v>23</v>
      </c>
      <c r="H334" s="60" t="s">
        <v>20</v>
      </c>
      <c r="I334" s="60" t="s">
        <v>25</v>
      </c>
      <c r="J334" s="60" t="s">
        <v>19</v>
      </c>
      <c r="K334" s="60" t="s">
        <v>19</v>
      </c>
      <c r="L334" s="60" t="s">
        <v>21</v>
      </c>
      <c r="M334" s="60" t="s">
        <v>38</v>
      </c>
      <c r="N334" s="60" t="s">
        <v>19</v>
      </c>
      <c r="O334" s="60" t="s">
        <v>25</v>
      </c>
      <c r="P334" s="60" t="s">
        <v>23</v>
      </c>
      <c r="Q334" s="60" t="s">
        <v>47</v>
      </c>
      <c r="R334" s="165"/>
      <c r="S334" s="70" t="s">
        <v>0</v>
      </c>
      <c r="T334" s="1">
        <v>39.6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66">
        <f t="shared" si="47"/>
        <v>39.6</v>
      </c>
      <c r="AA334" s="65">
        <v>2018</v>
      </c>
      <c r="AB334" s="9"/>
      <c r="AC334" s="111"/>
      <c r="AD334" s="111"/>
    </row>
    <row r="335" spans="1:30" ht="16.350000000000001" hidden="1" customHeight="1" x14ac:dyDescent="0.25">
      <c r="A335" s="60" t="s">
        <v>19</v>
      </c>
      <c r="B335" s="60" t="s">
        <v>19</v>
      </c>
      <c r="C335" s="60" t="s">
        <v>22</v>
      </c>
      <c r="D335" s="60" t="s">
        <v>19</v>
      </c>
      <c r="E335" s="60" t="s">
        <v>22</v>
      </c>
      <c r="F335" s="60" t="s">
        <v>19</v>
      </c>
      <c r="G335" s="60" t="s">
        <v>23</v>
      </c>
      <c r="H335" s="60" t="s">
        <v>20</v>
      </c>
      <c r="I335" s="60" t="s">
        <v>25</v>
      </c>
      <c r="J335" s="60" t="s">
        <v>19</v>
      </c>
      <c r="K335" s="60" t="s">
        <v>19</v>
      </c>
      <c r="L335" s="60" t="s">
        <v>21</v>
      </c>
      <c r="M335" s="60" t="s">
        <v>38</v>
      </c>
      <c r="N335" s="60" t="s">
        <v>19</v>
      </c>
      <c r="O335" s="60" t="s">
        <v>25</v>
      </c>
      <c r="P335" s="60" t="s">
        <v>23</v>
      </c>
      <c r="Q335" s="60" t="s">
        <v>40</v>
      </c>
      <c r="R335" s="166"/>
      <c r="S335" s="70" t="s">
        <v>0</v>
      </c>
      <c r="T335" s="1">
        <v>79.400000000000006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66">
        <f t="shared" si="47"/>
        <v>79.400000000000006</v>
      </c>
      <c r="AA335" s="65">
        <v>2018</v>
      </c>
      <c r="AB335" s="9"/>
      <c r="AC335" s="111"/>
      <c r="AD335" s="111"/>
    </row>
    <row r="336" spans="1:30" ht="36.6" hidden="1" customHeight="1" x14ac:dyDescent="0.25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87" t="s">
        <v>255</v>
      </c>
      <c r="S336" s="93" t="s">
        <v>8</v>
      </c>
      <c r="T336" s="47">
        <v>5</v>
      </c>
      <c r="U336" s="47">
        <v>0</v>
      </c>
      <c r="V336" s="47">
        <v>0</v>
      </c>
      <c r="W336" s="47">
        <v>0</v>
      </c>
      <c r="X336" s="47">
        <v>0</v>
      </c>
      <c r="Y336" s="47">
        <v>0</v>
      </c>
      <c r="Z336" s="6">
        <f t="shared" si="47"/>
        <v>5</v>
      </c>
      <c r="AA336" s="44">
        <v>2018</v>
      </c>
      <c r="AB336" s="9"/>
      <c r="AC336" s="111"/>
      <c r="AD336" s="111"/>
    </row>
    <row r="337" spans="1:30" ht="15.6" hidden="1" customHeight="1" x14ac:dyDescent="0.25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164" t="s">
        <v>256</v>
      </c>
      <c r="S337" s="70" t="s">
        <v>0</v>
      </c>
      <c r="T337" s="1">
        <f>SUM(T338:T342)</f>
        <v>490.3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66">
        <f t="shared" si="47"/>
        <v>490.3</v>
      </c>
      <c r="AA337" s="65">
        <v>2018</v>
      </c>
      <c r="AB337" s="9"/>
      <c r="AC337" s="111"/>
      <c r="AD337" s="111"/>
    </row>
    <row r="338" spans="1:30" ht="15.6" hidden="1" customHeight="1" x14ac:dyDescent="0.25">
      <c r="A338" s="60" t="s">
        <v>19</v>
      </c>
      <c r="B338" s="60" t="s">
        <v>19</v>
      </c>
      <c r="C338" s="60" t="s">
        <v>22</v>
      </c>
      <c r="D338" s="60" t="s">
        <v>19</v>
      </c>
      <c r="E338" s="60" t="s">
        <v>25</v>
      </c>
      <c r="F338" s="60" t="s">
        <v>19</v>
      </c>
      <c r="G338" s="60" t="s">
        <v>44</v>
      </c>
      <c r="H338" s="60" t="s">
        <v>20</v>
      </c>
      <c r="I338" s="60" t="s">
        <v>25</v>
      </c>
      <c r="J338" s="60" t="s">
        <v>19</v>
      </c>
      <c r="K338" s="60" t="s">
        <v>19</v>
      </c>
      <c r="L338" s="60" t="s">
        <v>21</v>
      </c>
      <c r="M338" s="60" t="s">
        <v>20</v>
      </c>
      <c r="N338" s="60" t="s">
        <v>19</v>
      </c>
      <c r="O338" s="60" t="s">
        <v>25</v>
      </c>
      <c r="P338" s="60" t="s">
        <v>23</v>
      </c>
      <c r="Q338" s="60" t="s">
        <v>46</v>
      </c>
      <c r="R338" s="165"/>
      <c r="S338" s="70" t="s">
        <v>0</v>
      </c>
      <c r="T338" s="1">
        <v>196.1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66">
        <f t="shared" si="47"/>
        <v>196.1</v>
      </c>
      <c r="AA338" s="65">
        <v>2018</v>
      </c>
      <c r="AB338" s="9"/>
      <c r="AC338" s="111"/>
      <c r="AD338" s="111"/>
    </row>
    <row r="339" spans="1:30" ht="15.6" hidden="1" customHeight="1" x14ac:dyDescent="0.25">
      <c r="A339" s="60" t="s">
        <v>19</v>
      </c>
      <c r="B339" s="60" t="s">
        <v>19</v>
      </c>
      <c r="C339" s="60" t="s">
        <v>22</v>
      </c>
      <c r="D339" s="60" t="s">
        <v>19</v>
      </c>
      <c r="E339" s="60" t="s">
        <v>25</v>
      </c>
      <c r="F339" s="60" t="s">
        <v>19</v>
      </c>
      <c r="G339" s="60" t="s">
        <v>44</v>
      </c>
      <c r="H339" s="60" t="s">
        <v>20</v>
      </c>
      <c r="I339" s="60" t="s">
        <v>25</v>
      </c>
      <c r="J339" s="60" t="s">
        <v>19</v>
      </c>
      <c r="K339" s="60" t="s">
        <v>19</v>
      </c>
      <c r="L339" s="60" t="s">
        <v>21</v>
      </c>
      <c r="M339" s="60" t="s">
        <v>20</v>
      </c>
      <c r="N339" s="60" t="s">
        <v>19</v>
      </c>
      <c r="O339" s="60" t="s">
        <v>44</v>
      </c>
      <c r="P339" s="60" t="s">
        <v>23</v>
      </c>
      <c r="Q339" s="60" t="s">
        <v>196</v>
      </c>
      <c r="R339" s="165"/>
      <c r="S339" s="70" t="s">
        <v>0</v>
      </c>
      <c r="T339" s="1">
        <v>30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66">
        <f>SUM(T339:Y339)</f>
        <v>30</v>
      </c>
      <c r="AA339" s="65">
        <v>2018</v>
      </c>
      <c r="AB339" s="9"/>
      <c r="AC339" s="111"/>
      <c r="AD339" s="111"/>
    </row>
    <row r="340" spans="1:30" ht="15.6" hidden="1" customHeight="1" x14ac:dyDescent="0.25">
      <c r="A340" s="60" t="s">
        <v>19</v>
      </c>
      <c r="B340" s="60" t="s">
        <v>19</v>
      </c>
      <c r="C340" s="60" t="s">
        <v>22</v>
      </c>
      <c r="D340" s="60" t="s">
        <v>19</v>
      </c>
      <c r="E340" s="60" t="s">
        <v>25</v>
      </c>
      <c r="F340" s="60" t="s">
        <v>19</v>
      </c>
      <c r="G340" s="60" t="s">
        <v>44</v>
      </c>
      <c r="H340" s="60" t="s">
        <v>20</v>
      </c>
      <c r="I340" s="60" t="s">
        <v>25</v>
      </c>
      <c r="J340" s="60" t="s">
        <v>19</v>
      </c>
      <c r="K340" s="60" t="s">
        <v>19</v>
      </c>
      <c r="L340" s="60" t="s">
        <v>21</v>
      </c>
      <c r="M340" s="60" t="s">
        <v>38</v>
      </c>
      <c r="N340" s="60" t="s">
        <v>19</v>
      </c>
      <c r="O340" s="60" t="s">
        <v>25</v>
      </c>
      <c r="P340" s="60" t="s">
        <v>23</v>
      </c>
      <c r="Q340" s="60" t="s">
        <v>47</v>
      </c>
      <c r="R340" s="165"/>
      <c r="S340" s="70" t="s">
        <v>0</v>
      </c>
      <c r="T340" s="1">
        <v>33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66">
        <f t="shared" si="47"/>
        <v>33</v>
      </c>
      <c r="AA340" s="65">
        <v>2018</v>
      </c>
      <c r="AB340" s="9"/>
      <c r="AC340" s="111"/>
      <c r="AD340" s="111"/>
    </row>
    <row r="341" spans="1:30" ht="15.6" hidden="1" customHeight="1" x14ac:dyDescent="0.25">
      <c r="A341" s="60" t="s">
        <v>19</v>
      </c>
      <c r="B341" s="60" t="s">
        <v>19</v>
      </c>
      <c r="C341" s="60" t="s">
        <v>22</v>
      </c>
      <c r="D341" s="60" t="s">
        <v>19</v>
      </c>
      <c r="E341" s="60" t="s">
        <v>25</v>
      </c>
      <c r="F341" s="60" t="s">
        <v>19</v>
      </c>
      <c r="G341" s="60" t="s">
        <v>44</v>
      </c>
      <c r="H341" s="60" t="s">
        <v>20</v>
      </c>
      <c r="I341" s="60" t="s">
        <v>25</v>
      </c>
      <c r="J341" s="60" t="s">
        <v>19</v>
      </c>
      <c r="K341" s="60" t="s">
        <v>19</v>
      </c>
      <c r="L341" s="60" t="s">
        <v>21</v>
      </c>
      <c r="M341" s="60" t="s">
        <v>38</v>
      </c>
      <c r="N341" s="60" t="s">
        <v>19</v>
      </c>
      <c r="O341" s="60" t="s">
        <v>25</v>
      </c>
      <c r="P341" s="60" t="s">
        <v>23</v>
      </c>
      <c r="Q341" s="60" t="s">
        <v>47</v>
      </c>
      <c r="R341" s="165"/>
      <c r="S341" s="70" t="s">
        <v>0</v>
      </c>
      <c r="T341" s="1">
        <v>102.9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66">
        <f t="shared" si="47"/>
        <v>102.9</v>
      </c>
      <c r="AA341" s="65">
        <v>2018</v>
      </c>
      <c r="AB341" s="9"/>
      <c r="AC341" s="111"/>
      <c r="AD341" s="111"/>
    </row>
    <row r="342" spans="1:30" ht="15.6" hidden="1" customHeight="1" x14ac:dyDescent="0.25">
      <c r="A342" s="60" t="s">
        <v>19</v>
      </c>
      <c r="B342" s="60" t="s">
        <v>19</v>
      </c>
      <c r="C342" s="60" t="s">
        <v>22</v>
      </c>
      <c r="D342" s="60" t="s">
        <v>19</v>
      </c>
      <c r="E342" s="60" t="s">
        <v>25</v>
      </c>
      <c r="F342" s="60" t="s">
        <v>19</v>
      </c>
      <c r="G342" s="60" t="s">
        <v>44</v>
      </c>
      <c r="H342" s="60" t="s">
        <v>20</v>
      </c>
      <c r="I342" s="60" t="s">
        <v>25</v>
      </c>
      <c r="J342" s="60" t="s">
        <v>19</v>
      </c>
      <c r="K342" s="60" t="s">
        <v>19</v>
      </c>
      <c r="L342" s="60" t="s">
        <v>21</v>
      </c>
      <c r="M342" s="60" t="s">
        <v>38</v>
      </c>
      <c r="N342" s="60" t="s">
        <v>19</v>
      </c>
      <c r="O342" s="60" t="s">
        <v>25</v>
      </c>
      <c r="P342" s="60" t="s">
        <v>23</v>
      </c>
      <c r="Q342" s="60" t="s">
        <v>40</v>
      </c>
      <c r="R342" s="166"/>
      <c r="S342" s="70" t="s">
        <v>0</v>
      </c>
      <c r="T342" s="1">
        <v>128.30000000000001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66">
        <f t="shared" si="47"/>
        <v>128.30000000000001</v>
      </c>
      <c r="AA342" s="65">
        <v>2018</v>
      </c>
      <c r="AB342" s="9"/>
      <c r="AC342" s="111"/>
      <c r="AD342" s="111"/>
    </row>
    <row r="343" spans="1:30" ht="31.15" hidden="1" customHeight="1" x14ac:dyDescent="0.25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85" t="s">
        <v>257</v>
      </c>
      <c r="S343" s="98" t="s">
        <v>198</v>
      </c>
      <c r="T343" s="3">
        <v>180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6">
        <f t="shared" si="47"/>
        <v>180</v>
      </c>
      <c r="AA343" s="44">
        <v>2018</v>
      </c>
      <c r="AB343" s="9"/>
      <c r="AC343" s="111"/>
      <c r="AD343" s="111"/>
    </row>
    <row r="344" spans="1:30" ht="15.6" hidden="1" customHeight="1" x14ac:dyDescent="0.25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164" t="s">
        <v>258</v>
      </c>
      <c r="S344" s="70" t="s">
        <v>0</v>
      </c>
      <c r="T344" s="1">
        <f>SUM(T345:T349)</f>
        <v>1177.5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66">
        <f t="shared" si="47"/>
        <v>1177.5</v>
      </c>
      <c r="AA344" s="65">
        <v>2018</v>
      </c>
      <c r="AB344" s="9"/>
      <c r="AC344" s="111"/>
      <c r="AD344" s="111"/>
    </row>
    <row r="345" spans="1:30" ht="15.6" hidden="1" customHeight="1" x14ac:dyDescent="0.25">
      <c r="A345" s="60" t="s">
        <v>19</v>
      </c>
      <c r="B345" s="60" t="s">
        <v>19</v>
      </c>
      <c r="C345" s="60" t="s">
        <v>22</v>
      </c>
      <c r="D345" s="60" t="s">
        <v>19</v>
      </c>
      <c r="E345" s="60" t="s">
        <v>22</v>
      </c>
      <c r="F345" s="60" t="s">
        <v>19</v>
      </c>
      <c r="G345" s="60" t="s">
        <v>23</v>
      </c>
      <c r="H345" s="60" t="s">
        <v>20</v>
      </c>
      <c r="I345" s="60" t="s">
        <v>25</v>
      </c>
      <c r="J345" s="60" t="s">
        <v>19</v>
      </c>
      <c r="K345" s="60" t="s">
        <v>19</v>
      </c>
      <c r="L345" s="60" t="s">
        <v>21</v>
      </c>
      <c r="M345" s="60" t="s">
        <v>20</v>
      </c>
      <c r="N345" s="60" t="s">
        <v>19</v>
      </c>
      <c r="O345" s="60" t="s">
        <v>25</v>
      </c>
      <c r="P345" s="60" t="s">
        <v>23</v>
      </c>
      <c r="Q345" s="60" t="s">
        <v>46</v>
      </c>
      <c r="R345" s="165"/>
      <c r="S345" s="70" t="s">
        <v>0</v>
      </c>
      <c r="T345" s="1">
        <v>400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66">
        <f t="shared" si="47"/>
        <v>400</v>
      </c>
      <c r="AA345" s="65">
        <v>2018</v>
      </c>
      <c r="AB345" s="9"/>
      <c r="AC345" s="111"/>
      <c r="AD345" s="111"/>
    </row>
    <row r="346" spans="1:30" ht="15.6" hidden="1" customHeight="1" x14ac:dyDescent="0.25">
      <c r="A346" s="60" t="s">
        <v>19</v>
      </c>
      <c r="B346" s="60" t="s">
        <v>19</v>
      </c>
      <c r="C346" s="60" t="s">
        <v>22</v>
      </c>
      <c r="D346" s="60" t="s">
        <v>19</v>
      </c>
      <c r="E346" s="60" t="s">
        <v>22</v>
      </c>
      <c r="F346" s="60" t="s">
        <v>19</v>
      </c>
      <c r="G346" s="60" t="s">
        <v>23</v>
      </c>
      <c r="H346" s="60" t="s">
        <v>20</v>
      </c>
      <c r="I346" s="60" t="s">
        <v>25</v>
      </c>
      <c r="J346" s="60" t="s">
        <v>19</v>
      </c>
      <c r="K346" s="60" t="s">
        <v>19</v>
      </c>
      <c r="L346" s="60" t="s">
        <v>21</v>
      </c>
      <c r="M346" s="60" t="s">
        <v>20</v>
      </c>
      <c r="N346" s="60" t="s">
        <v>19</v>
      </c>
      <c r="O346" s="60" t="s">
        <v>44</v>
      </c>
      <c r="P346" s="60" t="s">
        <v>23</v>
      </c>
      <c r="Q346" s="60" t="s">
        <v>196</v>
      </c>
      <c r="R346" s="165"/>
      <c r="S346" s="70" t="s">
        <v>0</v>
      </c>
      <c r="T346" s="1">
        <v>45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66">
        <f t="shared" si="47"/>
        <v>45</v>
      </c>
      <c r="AA346" s="65">
        <v>2018</v>
      </c>
      <c r="AB346" s="9"/>
      <c r="AC346" s="111"/>
      <c r="AD346" s="111"/>
    </row>
    <row r="347" spans="1:30" ht="15.6" hidden="1" customHeight="1" x14ac:dyDescent="0.25">
      <c r="A347" s="60" t="s">
        <v>19</v>
      </c>
      <c r="B347" s="60" t="s">
        <v>19</v>
      </c>
      <c r="C347" s="60" t="s">
        <v>22</v>
      </c>
      <c r="D347" s="60" t="s">
        <v>19</v>
      </c>
      <c r="E347" s="60" t="s">
        <v>22</v>
      </c>
      <c r="F347" s="60" t="s">
        <v>19</v>
      </c>
      <c r="G347" s="60" t="s">
        <v>23</v>
      </c>
      <c r="H347" s="60" t="s">
        <v>20</v>
      </c>
      <c r="I347" s="60" t="s">
        <v>25</v>
      </c>
      <c r="J347" s="60" t="s">
        <v>19</v>
      </c>
      <c r="K347" s="60" t="s">
        <v>19</v>
      </c>
      <c r="L347" s="60" t="s">
        <v>21</v>
      </c>
      <c r="M347" s="60" t="s">
        <v>38</v>
      </c>
      <c r="N347" s="60" t="s">
        <v>19</v>
      </c>
      <c r="O347" s="60" t="s">
        <v>25</v>
      </c>
      <c r="P347" s="60" t="s">
        <v>23</v>
      </c>
      <c r="Q347" s="60" t="s">
        <v>47</v>
      </c>
      <c r="R347" s="165"/>
      <c r="S347" s="70" t="s">
        <v>0</v>
      </c>
      <c r="T347" s="1">
        <v>58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66">
        <f t="shared" si="47"/>
        <v>58</v>
      </c>
      <c r="AA347" s="65">
        <v>2018</v>
      </c>
      <c r="AB347" s="9"/>
      <c r="AC347" s="111"/>
      <c r="AD347" s="111"/>
    </row>
    <row r="348" spans="1:30" ht="15.6" hidden="1" customHeight="1" x14ac:dyDescent="0.25">
      <c r="A348" s="60" t="s">
        <v>19</v>
      </c>
      <c r="B348" s="60" t="s">
        <v>19</v>
      </c>
      <c r="C348" s="60" t="s">
        <v>22</v>
      </c>
      <c r="D348" s="60" t="s">
        <v>19</v>
      </c>
      <c r="E348" s="60" t="s">
        <v>22</v>
      </c>
      <c r="F348" s="60" t="s">
        <v>19</v>
      </c>
      <c r="G348" s="60" t="s">
        <v>23</v>
      </c>
      <c r="H348" s="60" t="s">
        <v>20</v>
      </c>
      <c r="I348" s="60" t="s">
        <v>25</v>
      </c>
      <c r="J348" s="60" t="s">
        <v>19</v>
      </c>
      <c r="K348" s="60" t="s">
        <v>19</v>
      </c>
      <c r="L348" s="60" t="s">
        <v>21</v>
      </c>
      <c r="M348" s="60" t="s">
        <v>38</v>
      </c>
      <c r="N348" s="60" t="s">
        <v>19</v>
      </c>
      <c r="O348" s="60" t="s">
        <v>25</v>
      </c>
      <c r="P348" s="60" t="s">
        <v>23</v>
      </c>
      <c r="Q348" s="60" t="s">
        <v>47</v>
      </c>
      <c r="R348" s="165"/>
      <c r="S348" s="70" t="s">
        <v>0</v>
      </c>
      <c r="T348" s="1">
        <v>353.3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66">
        <f t="shared" si="47"/>
        <v>353.3</v>
      </c>
      <c r="AA348" s="65">
        <v>2018</v>
      </c>
      <c r="AB348" s="95"/>
      <c r="AC348" s="111"/>
      <c r="AD348" s="111"/>
    </row>
    <row r="349" spans="1:30" ht="15.6" hidden="1" customHeight="1" x14ac:dyDescent="0.25">
      <c r="A349" s="60" t="s">
        <v>19</v>
      </c>
      <c r="B349" s="60" t="s">
        <v>19</v>
      </c>
      <c r="C349" s="60" t="s">
        <v>22</v>
      </c>
      <c r="D349" s="60" t="s">
        <v>19</v>
      </c>
      <c r="E349" s="60" t="s">
        <v>22</v>
      </c>
      <c r="F349" s="60" t="s">
        <v>19</v>
      </c>
      <c r="G349" s="60" t="s">
        <v>23</v>
      </c>
      <c r="H349" s="60" t="s">
        <v>20</v>
      </c>
      <c r="I349" s="60" t="s">
        <v>25</v>
      </c>
      <c r="J349" s="60" t="s">
        <v>19</v>
      </c>
      <c r="K349" s="60" t="s">
        <v>19</v>
      </c>
      <c r="L349" s="60" t="s">
        <v>21</v>
      </c>
      <c r="M349" s="60" t="s">
        <v>38</v>
      </c>
      <c r="N349" s="60" t="s">
        <v>19</v>
      </c>
      <c r="O349" s="60" t="s">
        <v>25</v>
      </c>
      <c r="P349" s="60" t="s">
        <v>23</v>
      </c>
      <c r="Q349" s="60" t="s">
        <v>40</v>
      </c>
      <c r="R349" s="166"/>
      <c r="S349" s="70" t="s">
        <v>0</v>
      </c>
      <c r="T349" s="1">
        <v>321.2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66">
        <f t="shared" si="47"/>
        <v>321.2</v>
      </c>
      <c r="AA349" s="65">
        <v>2018</v>
      </c>
      <c r="AB349" s="9"/>
      <c r="AC349" s="111"/>
      <c r="AD349" s="111"/>
    </row>
    <row r="350" spans="1:30" ht="27.6" hidden="1" customHeight="1" x14ac:dyDescent="0.25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97" t="s">
        <v>259</v>
      </c>
      <c r="S350" s="93" t="s">
        <v>8</v>
      </c>
      <c r="T350" s="47">
        <v>1</v>
      </c>
      <c r="U350" s="47">
        <v>0</v>
      </c>
      <c r="V350" s="47">
        <v>0</v>
      </c>
      <c r="W350" s="47">
        <v>0</v>
      </c>
      <c r="X350" s="47">
        <v>0</v>
      </c>
      <c r="Y350" s="47">
        <v>0</v>
      </c>
      <c r="Z350" s="55">
        <f t="shared" si="47"/>
        <v>1</v>
      </c>
      <c r="AA350" s="44">
        <v>2018</v>
      </c>
      <c r="AB350" s="9"/>
      <c r="AC350" s="111"/>
      <c r="AD350" s="111"/>
    </row>
    <row r="351" spans="1:30" ht="15.6" hidden="1" customHeight="1" x14ac:dyDescent="0.25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164" t="s">
        <v>260</v>
      </c>
      <c r="S351" s="70" t="s">
        <v>0</v>
      </c>
      <c r="T351" s="1">
        <f>SUM(T352:T355)</f>
        <v>979.3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66">
        <f t="shared" si="47"/>
        <v>979.3</v>
      </c>
      <c r="AA351" s="65">
        <v>2018</v>
      </c>
      <c r="AB351" s="9"/>
      <c r="AC351" s="111"/>
      <c r="AD351" s="111"/>
    </row>
    <row r="352" spans="1:30" ht="15.6" hidden="1" customHeight="1" x14ac:dyDescent="0.25">
      <c r="A352" s="60" t="s">
        <v>19</v>
      </c>
      <c r="B352" s="60" t="s">
        <v>19</v>
      </c>
      <c r="C352" s="60" t="s">
        <v>22</v>
      </c>
      <c r="D352" s="60" t="s">
        <v>19</v>
      </c>
      <c r="E352" s="60" t="s">
        <v>22</v>
      </c>
      <c r="F352" s="60" t="s">
        <v>19</v>
      </c>
      <c r="G352" s="60" t="s">
        <v>23</v>
      </c>
      <c r="H352" s="60" t="s">
        <v>20</v>
      </c>
      <c r="I352" s="60" t="s">
        <v>25</v>
      </c>
      <c r="J352" s="60" t="s">
        <v>19</v>
      </c>
      <c r="K352" s="60" t="s">
        <v>19</v>
      </c>
      <c r="L352" s="60" t="s">
        <v>21</v>
      </c>
      <c r="M352" s="60" t="s">
        <v>20</v>
      </c>
      <c r="N352" s="60" t="s">
        <v>19</v>
      </c>
      <c r="O352" s="60" t="s">
        <v>25</v>
      </c>
      <c r="P352" s="60" t="s">
        <v>23</v>
      </c>
      <c r="Q352" s="60" t="s">
        <v>46</v>
      </c>
      <c r="R352" s="165"/>
      <c r="S352" s="70" t="s">
        <v>0</v>
      </c>
      <c r="T352" s="1">
        <v>391.7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66">
        <f t="shared" si="47"/>
        <v>391.7</v>
      </c>
      <c r="AA352" s="65">
        <v>2018</v>
      </c>
      <c r="AB352" s="9"/>
      <c r="AC352" s="111"/>
      <c r="AD352" s="111"/>
    </row>
    <row r="353" spans="1:30" ht="15.6" hidden="1" customHeight="1" x14ac:dyDescent="0.25">
      <c r="A353" s="60" t="s">
        <v>19</v>
      </c>
      <c r="B353" s="60" t="s">
        <v>19</v>
      </c>
      <c r="C353" s="60" t="s">
        <v>22</v>
      </c>
      <c r="D353" s="60" t="s">
        <v>19</v>
      </c>
      <c r="E353" s="60" t="s">
        <v>22</v>
      </c>
      <c r="F353" s="60" t="s">
        <v>19</v>
      </c>
      <c r="G353" s="60" t="s">
        <v>23</v>
      </c>
      <c r="H353" s="60" t="s">
        <v>20</v>
      </c>
      <c r="I353" s="60" t="s">
        <v>25</v>
      </c>
      <c r="J353" s="60" t="s">
        <v>19</v>
      </c>
      <c r="K353" s="60" t="s">
        <v>19</v>
      </c>
      <c r="L353" s="60" t="s">
        <v>21</v>
      </c>
      <c r="M353" s="60" t="s">
        <v>38</v>
      </c>
      <c r="N353" s="60" t="s">
        <v>19</v>
      </c>
      <c r="O353" s="60" t="s">
        <v>44</v>
      </c>
      <c r="P353" s="60" t="s">
        <v>23</v>
      </c>
      <c r="Q353" s="60" t="s">
        <v>196</v>
      </c>
      <c r="R353" s="165"/>
      <c r="S353" s="70" t="s">
        <v>0</v>
      </c>
      <c r="T353" s="1">
        <v>30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66">
        <f t="shared" si="47"/>
        <v>30</v>
      </c>
      <c r="AA353" s="65">
        <v>2018</v>
      </c>
      <c r="AB353" s="9"/>
      <c r="AC353" s="111"/>
      <c r="AD353" s="111"/>
    </row>
    <row r="354" spans="1:30" ht="15.6" hidden="1" customHeight="1" x14ac:dyDescent="0.25">
      <c r="A354" s="60" t="s">
        <v>19</v>
      </c>
      <c r="B354" s="60" t="s">
        <v>19</v>
      </c>
      <c r="C354" s="60" t="s">
        <v>22</v>
      </c>
      <c r="D354" s="60" t="s">
        <v>19</v>
      </c>
      <c r="E354" s="60" t="s">
        <v>22</v>
      </c>
      <c r="F354" s="60" t="s">
        <v>19</v>
      </c>
      <c r="G354" s="60" t="s">
        <v>23</v>
      </c>
      <c r="H354" s="60" t="s">
        <v>20</v>
      </c>
      <c r="I354" s="60" t="s">
        <v>25</v>
      </c>
      <c r="J354" s="60" t="s">
        <v>19</v>
      </c>
      <c r="K354" s="60" t="s">
        <v>19</v>
      </c>
      <c r="L354" s="60" t="s">
        <v>21</v>
      </c>
      <c r="M354" s="60" t="s">
        <v>38</v>
      </c>
      <c r="N354" s="60" t="s">
        <v>19</v>
      </c>
      <c r="O354" s="60" t="s">
        <v>25</v>
      </c>
      <c r="P354" s="60" t="s">
        <v>23</v>
      </c>
      <c r="Q354" s="60" t="s">
        <v>47</v>
      </c>
      <c r="R354" s="165"/>
      <c r="S354" s="70" t="s">
        <v>0</v>
      </c>
      <c r="T354" s="1">
        <v>205.6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66">
        <f t="shared" si="47"/>
        <v>205.6</v>
      </c>
      <c r="AA354" s="65">
        <v>2018</v>
      </c>
      <c r="AB354" s="9"/>
      <c r="AC354" s="111"/>
      <c r="AD354" s="111"/>
    </row>
    <row r="355" spans="1:30" ht="15.6" hidden="1" customHeight="1" x14ac:dyDescent="0.25">
      <c r="A355" s="60" t="s">
        <v>19</v>
      </c>
      <c r="B355" s="60" t="s">
        <v>19</v>
      </c>
      <c r="C355" s="60" t="s">
        <v>22</v>
      </c>
      <c r="D355" s="60" t="s">
        <v>19</v>
      </c>
      <c r="E355" s="60" t="s">
        <v>22</v>
      </c>
      <c r="F355" s="60" t="s">
        <v>19</v>
      </c>
      <c r="G355" s="60" t="s">
        <v>23</v>
      </c>
      <c r="H355" s="60" t="s">
        <v>20</v>
      </c>
      <c r="I355" s="60" t="s">
        <v>25</v>
      </c>
      <c r="J355" s="60" t="s">
        <v>19</v>
      </c>
      <c r="K355" s="60" t="s">
        <v>19</v>
      </c>
      <c r="L355" s="60" t="s">
        <v>21</v>
      </c>
      <c r="M355" s="60" t="s">
        <v>38</v>
      </c>
      <c r="N355" s="60" t="s">
        <v>19</v>
      </c>
      <c r="O355" s="60" t="s">
        <v>25</v>
      </c>
      <c r="P355" s="60" t="s">
        <v>23</v>
      </c>
      <c r="Q355" s="60" t="s">
        <v>40</v>
      </c>
      <c r="R355" s="166"/>
      <c r="S355" s="70" t="s">
        <v>0</v>
      </c>
      <c r="T355" s="1">
        <v>352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66">
        <f t="shared" si="47"/>
        <v>352</v>
      </c>
      <c r="AA355" s="65">
        <v>2018</v>
      </c>
      <c r="AB355" s="9"/>
      <c r="AC355" s="111"/>
      <c r="AD355" s="111"/>
    </row>
    <row r="356" spans="1:30" ht="31.15" hidden="1" customHeight="1" x14ac:dyDescent="0.25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87" t="s">
        <v>261</v>
      </c>
      <c r="S356" s="93" t="s">
        <v>193</v>
      </c>
      <c r="T356" s="3">
        <v>356.5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6">
        <f t="shared" si="47"/>
        <v>356.5</v>
      </c>
      <c r="AA356" s="44">
        <v>2018</v>
      </c>
      <c r="AB356" s="9"/>
      <c r="AC356" s="111"/>
      <c r="AD356" s="111"/>
    </row>
    <row r="357" spans="1:30" ht="15.6" hidden="1" customHeight="1" x14ac:dyDescent="0.25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164" t="s">
        <v>262</v>
      </c>
      <c r="S357" s="70" t="s">
        <v>0</v>
      </c>
      <c r="T357" s="1">
        <f>SUM(T358:T361)</f>
        <v>695.4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66">
        <f t="shared" si="47"/>
        <v>695.4</v>
      </c>
      <c r="AA357" s="65">
        <v>2018</v>
      </c>
      <c r="AB357" s="9"/>
      <c r="AC357" s="111"/>
      <c r="AD357" s="111"/>
    </row>
    <row r="358" spans="1:30" ht="15.6" hidden="1" customHeight="1" x14ac:dyDescent="0.25">
      <c r="A358" s="60" t="s">
        <v>19</v>
      </c>
      <c r="B358" s="60" t="s">
        <v>19</v>
      </c>
      <c r="C358" s="60" t="s">
        <v>22</v>
      </c>
      <c r="D358" s="60" t="s">
        <v>19</v>
      </c>
      <c r="E358" s="60" t="s">
        <v>22</v>
      </c>
      <c r="F358" s="60" t="s">
        <v>19</v>
      </c>
      <c r="G358" s="60" t="s">
        <v>23</v>
      </c>
      <c r="H358" s="60" t="s">
        <v>20</v>
      </c>
      <c r="I358" s="60" t="s">
        <v>25</v>
      </c>
      <c r="J358" s="60" t="s">
        <v>19</v>
      </c>
      <c r="K358" s="60" t="s">
        <v>19</v>
      </c>
      <c r="L358" s="60" t="s">
        <v>21</v>
      </c>
      <c r="M358" s="60" t="s">
        <v>20</v>
      </c>
      <c r="N358" s="60" t="s">
        <v>19</v>
      </c>
      <c r="O358" s="60" t="s">
        <v>25</v>
      </c>
      <c r="P358" s="60" t="s">
        <v>23</v>
      </c>
      <c r="Q358" s="60" t="s">
        <v>46</v>
      </c>
      <c r="R358" s="165"/>
      <c r="S358" s="70" t="s">
        <v>0</v>
      </c>
      <c r="T358" s="1">
        <v>278.2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66">
        <f t="shared" si="47"/>
        <v>278.2</v>
      </c>
      <c r="AA358" s="65">
        <v>2018</v>
      </c>
      <c r="AB358" s="9"/>
      <c r="AC358" s="111"/>
      <c r="AD358" s="111"/>
    </row>
    <row r="359" spans="1:30" ht="15.6" hidden="1" customHeight="1" x14ac:dyDescent="0.25">
      <c r="A359" s="60" t="s">
        <v>19</v>
      </c>
      <c r="B359" s="60" t="s">
        <v>19</v>
      </c>
      <c r="C359" s="60" t="s">
        <v>22</v>
      </c>
      <c r="D359" s="60" t="s">
        <v>19</v>
      </c>
      <c r="E359" s="60" t="s">
        <v>22</v>
      </c>
      <c r="F359" s="60" t="s">
        <v>19</v>
      </c>
      <c r="G359" s="60" t="s">
        <v>23</v>
      </c>
      <c r="H359" s="60" t="s">
        <v>20</v>
      </c>
      <c r="I359" s="60" t="s">
        <v>25</v>
      </c>
      <c r="J359" s="60" t="s">
        <v>19</v>
      </c>
      <c r="K359" s="60" t="s">
        <v>19</v>
      </c>
      <c r="L359" s="60" t="s">
        <v>21</v>
      </c>
      <c r="M359" s="60" t="s">
        <v>38</v>
      </c>
      <c r="N359" s="60" t="s">
        <v>19</v>
      </c>
      <c r="O359" s="60" t="s">
        <v>44</v>
      </c>
      <c r="P359" s="60" t="s">
        <v>23</v>
      </c>
      <c r="Q359" s="60" t="s">
        <v>196</v>
      </c>
      <c r="R359" s="165"/>
      <c r="S359" s="70" t="s">
        <v>0</v>
      </c>
      <c r="T359" s="1">
        <v>20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66">
        <f t="shared" si="47"/>
        <v>20</v>
      </c>
      <c r="AA359" s="65">
        <v>2018</v>
      </c>
      <c r="AB359" s="9"/>
      <c r="AC359" s="111"/>
      <c r="AD359" s="111"/>
    </row>
    <row r="360" spans="1:30" ht="15.6" hidden="1" customHeight="1" x14ac:dyDescent="0.25">
      <c r="A360" s="60" t="s">
        <v>19</v>
      </c>
      <c r="B360" s="60" t="s">
        <v>19</v>
      </c>
      <c r="C360" s="60" t="s">
        <v>22</v>
      </c>
      <c r="D360" s="60" t="s">
        <v>19</v>
      </c>
      <c r="E360" s="60" t="s">
        <v>22</v>
      </c>
      <c r="F360" s="60" t="s">
        <v>19</v>
      </c>
      <c r="G360" s="60" t="s">
        <v>23</v>
      </c>
      <c r="H360" s="60" t="s">
        <v>20</v>
      </c>
      <c r="I360" s="60" t="s">
        <v>25</v>
      </c>
      <c r="J360" s="60" t="s">
        <v>19</v>
      </c>
      <c r="K360" s="60" t="s">
        <v>19</v>
      </c>
      <c r="L360" s="60" t="s">
        <v>21</v>
      </c>
      <c r="M360" s="60" t="s">
        <v>38</v>
      </c>
      <c r="N360" s="60" t="s">
        <v>19</v>
      </c>
      <c r="O360" s="60" t="s">
        <v>25</v>
      </c>
      <c r="P360" s="60" t="s">
        <v>23</v>
      </c>
      <c r="Q360" s="60" t="s">
        <v>47</v>
      </c>
      <c r="R360" s="165"/>
      <c r="S360" s="70" t="s">
        <v>0</v>
      </c>
      <c r="T360" s="1">
        <v>104.3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66">
        <f t="shared" si="47"/>
        <v>104.3</v>
      </c>
      <c r="AA360" s="65">
        <v>2018</v>
      </c>
      <c r="AB360" s="9"/>
      <c r="AC360" s="111"/>
      <c r="AD360" s="111"/>
    </row>
    <row r="361" spans="1:30" ht="15.6" hidden="1" customHeight="1" x14ac:dyDescent="0.25">
      <c r="A361" s="60" t="s">
        <v>19</v>
      </c>
      <c r="B361" s="60" t="s">
        <v>19</v>
      </c>
      <c r="C361" s="60" t="s">
        <v>22</v>
      </c>
      <c r="D361" s="60" t="s">
        <v>19</v>
      </c>
      <c r="E361" s="60" t="s">
        <v>22</v>
      </c>
      <c r="F361" s="60" t="s">
        <v>19</v>
      </c>
      <c r="G361" s="60" t="s">
        <v>23</v>
      </c>
      <c r="H361" s="60" t="s">
        <v>20</v>
      </c>
      <c r="I361" s="60" t="s">
        <v>25</v>
      </c>
      <c r="J361" s="60" t="s">
        <v>19</v>
      </c>
      <c r="K361" s="60" t="s">
        <v>19</v>
      </c>
      <c r="L361" s="60" t="s">
        <v>21</v>
      </c>
      <c r="M361" s="60" t="s">
        <v>38</v>
      </c>
      <c r="N361" s="60" t="s">
        <v>19</v>
      </c>
      <c r="O361" s="60" t="s">
        <v>25</v>
      </c>
      <c r="P361" s="60" t="s">
        <v>23</v>
      </c>
      <c r="Q361" s="60" t="s">
        <v>40</v>
      </c>
      <c r="R361" s="166"/>
      <c r="S361" s="70" t="s">
        <v>0</v>
      </c>
      <c r="T361" s="1">
        <v>292.89999999999998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66">
        <f t="shared" si="47"/>
        <v>292.89999999999998</v>
      </c>
      <c r="AA361" s="65">
        <v>2018</v>
      </c>
      <c r="AB361" s="9"/>
      <c r="AC361" s="111"/>
      <c r="AD361" s="111"/>
    </row>
    <row r="362" spans="1:30" ht="31.15" hidden="1" customHeight="1" x14ac:dyDescent="0.25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85" t="s">
        <v>263</v>
      </c>
      <c r="S362" s="98" t="s">
        <v>198</v>
      </c>
      <c r="T362" s="3">
        <v>190</v>
      </c>
      <c r="U362" s="3">
        <v>0</v>
      </c>
      <c r="V362" s="3">
        <v>0</v>
      </c>
      <c r="W362" s="3">
        <v>0</v>
      </c>
      <c r="X362" s="3">
        <v>0</v>
      </c>
      <c r="Y362" s="3">
        <v>0</v>
      </c>
      <c r="Z362" s="6">
        <f t="shared" si="47"/>
        <v>190</v>
      </c>
      <c r="AA362" s="44">
        <v>2018</v>
      </c>
      <c r="AB362" s="9"/>
      <c r="AC362" s="111"/>
      <c r="AD362" s="111"/>
    </row>
    <row r="363" spans="1:30" ht="15.6" hidden="1" customHeight="1" x14ac:dyDescent="0.25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164" t="s">
        <v>264</v>
      </c>
      <c r="S363" s="70" t="s">
        <v>0</v>
      </c>
      <c r="T363" s="1">
        <f>SUM(T364:T368)</f>
        <v>836.4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66">
        <f t="shared" si="47"/>
        <v>836.4</v>
      </c>
      <c r="AA363" s="65">
        <v>2018</v>
      </c>
      <c r="AB363" s="9"/>
      <c r="AC363" s="111"/>
      <c r="AD363" s="111"/>
    </row>
    <row r="364" spans="1:30" ht="15.6" hidden="1" customHeight="1" x14ac:dyDescent="0.25">
      <c r="A364" s="60" t="s">
        <v>19</v>
      </c>
      <c r="B364" s="60" t="s">
        <v>19</v>
      </c>
      <c r="C364" s="60" t="s">
        <v>22</v>
      </c>
      <c r="D364" s="60" t="s">
        <v>19</v>
      </c>
      <c r="E364" s="60" t="s">
        <v>22</v>
      </c>
      <c r="F364" s="60" t="s">
        <v>19</v>
      </c>
      <c r="G364" s="60" t="s">
        <v>23</v>
      </c>
      <c r="H364" s="60" t="s">
        <v>20</v>
      </c>
      <c r="I364" s="60" t="s">
        <v>25</v>
      </c>
      <c r="J364" s="60" t="s">
        <v>19</v>
      </c>
      <c r="K364" s="60" t="s">
        <v>19</v>
      </c>
      <c r="L364" s="60" t="s">
        <v>21</v>
      </c>
      <c r="M364" s="60" t="s">
        <v>20</v>
      </c>
      <c r="N364" s="60" t="s">
        <v>19</v>
      </c>
      <c r="O364" s="60" t="s">
        <v>25</v>
      </c>
      <c r="P364" s="60" t="s">
        <v>23</v>
      </c>
      <c r="Q364" s="60" t="s">
        <v>46</v>
      </c>
      <c r="R364" s="165"/>
      <c r="S364" s="70" t="s">
        <v>0</v>
      </c>
      <c r="T364" s="1">
        <v>334.5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66">
        <f t="shared" si="47"/>
        <v>334.5</v>
      </c>
      <c r="AA364" s="65">
        <v>2018</v>
      </c>
      <c r="AB364" s="9"/>
      <c r="AC364" s="111"/>
      <c r="AD364" s="111"/>
    </row>
    <row r="365" spans="1:30" ht="15.6" hidden="1" customHeight="1" x14ac:dyDescent="0.25">
      <c r="A365" s="60" t="s">
        <v>19</v>
      </c>
      <c r="B365" s="60" t="s">
        <v>19</v>
      </c>
      <c r="C365" s="60" t="s">
        <v>22</v>
      </c>
      <c r="D365" s="60" t="s">
        <v>19</v>
      </c>
      <c r="E365" s="60" t="s">
        <v>22</v>
      </c>
      <c r="F365" s="60" t="s">
        <v>19</v>
      </c>
      <c r="G365" s="60" t="s">
        <v>23</v>
      </c>
      <c r="H365" s="60" t="s">
        <v>20</v>
      </c>
      <c r="I365" s="60" t="s">
        <v>25</v>
      </c>
      <c r="J365" s="60" t="s">
        <v>19</v>
      </c>
      <c r="K365" s="60" t="s">
        <v>19</v>
      </c>
      <c r="L365" s="60" t="s">
        <v>21</v>
      </c>
      <c r="M365" s="60" t="s">
        <v>20</v>
      </c>
      <c r="N365" s="60" t="s">
        <v>19</v>
      </c>
      <c r="O365" s="60" t="s">
        <v>44</v>
      </c>
      <c r="P365" s="60" t="s">
        <v>23</v>
      </c>
      <c r="Q365" s="60" t="s">
        <v>196</v>
      </c>
      <c r="R365" s="165"/>
      <c r="S365" s="70" t="s">
        <v>0</v>
      </c>
      <c r="T365" s="1">
        <v>30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66">
        <f>SUM(T365:Y365)</f>
        <v>30</v>
      </c>
      <c r="AA365" s="65">
        <v>2018</v>
      </c>
      <c r="AB365" s="9"/>
      <c r="AC365" s="111"/>
      <c r="AD365" s="111"/>
    </row>
    <row r="366" spans="1:30" ht="15.6" hidden="1" customHeight="1" x14ac:dyDescent="0.25">
      <c r="A366" s="60" t="s">
        <v>19</v>
      </c>
      <c r="B366" s="60" t="s">
        <v>19</v>
      </c>
      <c r="C366" s="60" t="s">
        <v>22</v>
      </c>
      <c r="D366" s="60" t="s">
        <v>19</v>
      </c>
      <c r="E366" s="60" t="s">
        <v>22</v>
      </c>
      <c r="F366" s="60" t="s">
        <v>19</v>
      </c>
      <c r="G366" s="60" t="s">
        <v>23</v>
      </c>
      <c r="H366" s="60" t="s">
        <v>20</v>
      </c>
      <c r="I366" s="60" t="s">
        <v>25</v>
      </c>
      <c r="J366" s="60" t="s">
        <v>19</v>
      </c>
      <c r="K366" s="60" t="s">
        <v>19</v>
      </c>
      <c r="L366" s="60" t="s">
        <v>21</v>
      </c>
      <c r="M366" s="60" t="s">
        <v>38</v>
      </c>
      <c r="N366" s="60" t="s">
        <v>19</v>
      </c>
      <c r="O366" s="60" t="s">
        <v>25</v>
      </c>
      <c r="P366" s="60" t="s">
        <v>23</v>
      </c>
      <c r="Q366" s="60" t="s">
        <v>47</v>
      </c>
      <c r="R366" s="165"/>
      <c r="S366" s="70" t="s">
        <v>0</v>
      </c>
      <c r="T366" s="1">
        <v>16.399999999999999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66">
        <f t="shared" si="47"/>
        <v>16.399999999999999</v>
      </c>
      <c r="AA366" s="65">
        <v>2018</v>
      </c>
      <c r="AB366" s="9"/>
      <c r="AC366" s="111"/>
      <c r="AD366" s="111"/>
    </row>
    <row r="367" spans="1:30" ht="15.6" hidden="1" customHeight="1" x14ac:dyDescent="0.25">
      <c r="A367" s="60" t="s">
        <v>19</v>
      </c>
      <c r="B367" s="60" t="s">
        <v>19</v>
      </c>
      <c r="C367" s="60" t="s">
        <v>22</v>
      </c>
      <c r="D367" s="60" t="s">
        <v>19</v>
      </c>
      <c r="E367" s="60" t="s">
        <v>22</v>
      </c>
      <c r="F367" s="60" t="s">
        <v>19</v>
      </c>
      <c r="G367" s="60" t="s">
        <v>23</v>
      </c>
      <c r="H367" s="60" t="s">
        <v>20</v>
      </c>
      <c r="I367" s="60" t="s">
        <v>25</v>
      </c>
      <c r="J367" s="60" t="s">
        <v>19</v>
      </c>
      <c r="K367" s="60" t="s">
        <v>19</v>
      </c>
      <c r="L367" s="60" t="s">
        <v>21</v>
      </c>
      <c r="M367" s="60" t="s">
        <v>38</v>
      </c>
      <c r="N367" s="60" t="s">
        <v>19</v>
      </c>
      <c r="O367" s="60" t="s">
        <v>25</v>
      </c>
      <c r="P367" s="60" t="s">
        <v>23</v>
      </c>
      <c r="Q367" s="60" t="s">
        <v>47</v>
      </c>
      <c r="R367" s="165"/>
      <c r="S367" s="70" t="s">
        <v>0</v>
      </c>
      <c r="T367" s="1">
        <v>125.5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66">
        <f t="shared" si="47"/>
        <v>125.5</v>
      </c>
      <c r="AA367" s="65">
        <v>2018</v>
      </c>
      <c r="AB367" s="9"/>
      <c r="AC367" s="111"/>
      <c r="AD367" s="111"/>
    </row>
    <row r="368" spans="1:30" ht="15.6" hidden="1" customHeight="1" x14ac:dyDescent="0.25">
      <c r="A368" s="60" t="s">
        <v>19</v>
      </c>
      <c r="B368" s="60" t="s">
        <v>19</v>
      </c>
      <c r="C368" s="60" t="s">
        <v>22</v>
      </c>
      <c r="D368" s="60" t="s">
        <v>19</v>
      </c>
      <c r="E368" s="60" t="s">
        <v>22</v>
      </c>
      <c r="F368" s="60" t="s">
        <v>19</v>
      </c>
      <c r="G368" s="60" t="s">
        <v>23</v>
      </c>
      <c r="H368" s="60" t="s">
        <v>20</v>
      </c>
      <c r="I368" s="60" t="s">
        <v>25</v>
      </c>
      <c r="J368" s="60" t="s">
        <v>19</v>
      </c>
      <c r="K368" s="60" t="s">
        <v>19</v>
      </c>
      <c r="L368" s="60" t="s">
        <v>21</v>
      </c>
      <c r="M368" s="60" t="s">
        <v>38</v>
      </c>
      <c r="N368" s="60" t="s">
        <v>19</v>
      </c>
      <c r="O368" s="60" t="s">
        <v>25</v>
      </c>
      <c r="P368" s="60" t="s">
        <v>23</v>
      </c>
      <c r="Q368" s="60" t="s">
        <v>40</v>
      </c>
      <c r="R368" s="166"/>
      <c r="S368" s="70" t="s">
        <v>0</v>
      </c>
      <c r="T368" s="1">
        <v>330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66">
        <f t="shared" si="47"/>
        <v>330</v>
      </c>
      <c r="AA368" s="65">
        <v>2018</v>
      </c>
      <c r="AB368" s="9"/>
      <c r="AC368" s="111"/>
      <c r="AD368" s="111"/>
    </row>
    <row r="369" spans="1:30" ht="27.6" hidden="1" customHeight="1" x14ac:dyDescent="0.25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97" t="s">
        <v>265</v>
      </c>
      <c r="S369" s="93" t="s">
        <v>8</v>
      </c>
      <c r="T369" s="47">
        <v>1</v>
      </c>
      <c r="U369" s="47">
        <v>0</v>
      </c>
      <c r="V369" s="47">
        <v>0</v>
      </c>
      <c r="W369" s="47">
        <v>0</v>
      </c>
      <c r="X369" s="47">
        <v>0</v>
      </c>
      <c r="Y369" s="47">
        <v>0</v>
      </c>
      <c r="Z369" s="6">
        <f t="shared" si="47"/>
        <v>1</v>
      </c>
      <c r="AA369" s="44">
        <v>2018</v>
      </c>
      <c r="AB369" s="9"/>
      <c r="AC369" s="111"/>
      <c r="AD369" s="111"/>
    </row>
    <row r="370" spans="1:30" x14ac:dyDescent="0.25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164" t="s">
        <v>149</v>
      </c>
      <c r="S370" s="70" t="s">
        <v>0</v>
      </c>
      <c r="T370" s="1">
        <f>SUM(T371:T373)</f>
        <v>6913.9150000000009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66">
        <f t="shared" ref="Z370:Z376" si="48">SUM(T370:Y370)</f>
        <v>6913.9150000000009</v>
      </c>
      <c r="AA370" s="65">
        <v>2018</v>
      </c>
      <c r="AB370" s="135"/>
      <c r="AC370" s="111"/>
      <c r="AD370" s="111"/>
    </row>
    <row r="371" spans="1:30" x14ac:dyDescent="0.25">
      <c r="A371" s="60" t="s">
        <v>19</v>
      </c>
      <c r="B371" s="60" t="s">
        <v>19</v>
      </c>
      <c r="C371" s="60" t="s">
        <v>26</v>
      </c>
      <c r="D371" s="60" t="s">
        <v>19</v>
      </c>
      <c r="E371" s="60" t="s">
        <v>22</v>
      </c>
      <c r="F371" s="60" t="s">
        <v>19</v>
      </c>
      <c r="G371" s="60" t="s">
        <v>23</v>
      </c>
      <c r="H371" s="60" t="s">
        <v>20</v>
      </c>
      <c r="I371" s="60" t="s">
        <v>25</v>
      </c>
      <c r="J371" s="60" t="s">
        <v>19</v>
      </c>
      <c r="K371" s="60" t="s">
        <v>19</v>
      </c>
      <c r="L371" s="60" t="s">
        <v>21</v>
      </c>
      <c r="M371" s="60" t="s">
        <v>20</v>
      </c>
      <c r="N371" s="60" t="s">
        <v>19</v>
      </c>
      <c r="O371" s="60" t="s">
        <v>25</v>
      </c>
      <c r="P371" s="60" t="s">
        <v>23</v>
      </c>
      <c r="Q371" s="60" t="s">
        <v>46</v>
      </c>
      <c r="R371" s="165"/>
      <c r="S371" s="70" t="s">
        <v>0</v>
      </c>
      <c r="T371" s="1">
        <f>T378+T384+T390+T396+T402+T408+T413+T419+T425+T431+T437</f>
        <v>2886.915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66">
        <f t="shared" si="48"/>
        <v>2886.915</v>
      </c>
      <c r="AA371" s="65">
        <v>2018</v>
      </c>
      <c r="AB371" s="135"/>
      <c r="AC371" s="111"/>
      <c r="AD371" s="111"/>
    </row>
    <row r="372" spans="1:30" x14ac:dyDescent="0.25">
      <c r="A372" s="60" t="s">
        <v>19</v>
      </c>
      <c r="B372" s="60" t="s">
        <v>19</v>
      </c>
      <c r="C372" s="60" t="s">
        <v>26</v>
      </c>
      <c r="D372" s="60" t="s">
        <v>19</v>
      </c>
      <c r="E372" s="60" t="s">
        <v>22</v>
      </c>
      <c r="F372" s="60" t="s">
        <v>19</v>
      </c>
      <c r="G372" s="60" t="s">
        <v>23</v>
      </c>
      <c r="H372" s="60" t="s">
        <v>20</v>
      </c>
      <c r="I372" s="60" t="s">
        <v>25</v>
      </c>
      <c r="J372" s="60" t="s">
        <v>19</v>
      </c>
      <c r="K372" s="60" t="s">
        <v>19</v>
      </c>
      <c r="L372" s="60" t="s">
        <v>21</v>
      </c>
      <c r="M372" s="60" t="s">
        <v>38</v>
      </c>
      <c r="N372" s="60" t="s">
        <v>19</v>
      </c>
      <c r="O372" s="60" t="s">
        <v>25</v>
      </c>
      <c r="P372" s="60" t="s">
        <v>23</v>
      </c>
      <c r="Q372" s="60" t="s">
        <v>47</v>
      </c>
      <c r="R372" s="165"/>
      <c r="S372" s="70" t="s">
        <v>0</v>
      </c>
      <c r="T372" s="1">
        <f>T379+T380+T385+T386+T391+T392+T397+T398+T403+T404+T409+T414+T415+T420+T421+T426+T427+T432+T433+T438+T439</f>
        <v>1641.4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66">
        <f t="shared" si="48"/>
        <v>1641.4</v>
      </c>
      <c r="AA372" s="65">
        <v>2018</v>
      </c>
      <c r="AB372" s="135"/>
      <c r="AC372" s="111"/>
      <c r="AD372" s="111"/>
    </row>
    <row r="373" spans="1:30" x14ac:dyDescent="0.25">
      <c r="A373" s="60" t="s">
        <v>19</v>
      </c>
      <c r="B373" s="60" t="s">
        <v>19</v>
      </c>
      <c r="C373" s="60" t="s">
        <v>26</v>
      </c>
      <c r="D373" s="60" t="s">
        <v>19</v>
      </c>
      <c r="E373" s="60" t="s">
        <v>22</v>
      </c>
      <c r="F373" s="60" t="s">
        <v>19</v>
      </c>
      <c r="G373" s="60" t="s">
        <v>23</v>
      </c>
      <c r="H373" s="60" t="s">
        <v>20</v>
      </c>
      <c r="I373" s="60" t="s">
        <v>25</v>
      </c>
      <c r="J373" s="60" t="s">
        <v>19</v>
      </c>
      <c r="K373" s="60" t="s">
        <v>19</v>
      </c>
      <c r="L373" s="60" t="s">
        <v>21</v>
      </c>
      <c r="M373" s="60" t="s">
        <v>38</v>
      </c>
      <c r="N373" s="60" t="s">
        <v>19</v>
      </c>
      <c r="O373" s="60" t="s">
        <v>25</v>
      </c>
      <c r="P373" s="60" t="s">
        <v>23</v>
      </c>
      <c r="Q373" s="60" t="s">
        <v>40</v>
      </c>
      <c r="R373" s="166"/>
      <c r="S373" s="70" t="s">
        <v>0</v>
      </c>
      <c r="T373" s="1">
        <v>2385.6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66">
        <f t="shared" si="48"/>
        <v>2385.6</v>
      </c>
      <c r="AA373" s="65">
        <v>2018</v>
      </c>
      <c r="AB373" s="135"/>
      <c r="AC373" s="111"/>
      <c r="AD373" s="111"/>
    </row>
    <row r="374" spans="1:30" ht="47.25" x14ac:dyDescent="0.25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87" t="s">
        <v>211</v>
      </c>
      <c r="S374" s="69" t="s">
        <v>56</v>
      </c>
      <c r="T374" s="3">
        <v>1.5</v>
      </c>
      <c r="U374" s="3">
        <v>0</v>
      </c>
      <c r="V374" s="3">
        <v>0</v>
      </c>
      <c r="W374" s="3">
        <v>0</v>
      </c>
      <c r="X374" s="3">
        <v>0</v>
      </c>
      <c r="Y374" s="3">
        <v>0</v>
      </c>
      <c r="Z374" s="6">
        <f t="shared" si="48"/>
        <v>1.5</v>
      </c>
      <c r="AA374" s="44">
        <v>2018</v>
      </c>
      <c r="AB374" s="139"/>
      <c r="AC374" s="111"/>
      <c r="AD374" s="111"/>
    </row>
    <row r="375" spans="1:30" ht="46.9" hidden="1" customHeight="1" x14ac:dyDescent="0.2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87" t="s">
        <v>202</v>
      </c>
      <c r="S375" s="93" t="s">
        <v>200</v>
      </c>
      <c r="T375" s="3"/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6">
        <f t="shared" si="48"/>
        <v>0</v>
      </c>
      <c r="AA375" s="44">
        <v>2018</v>
      </c>
      <c r="AB375" s="139"/>
      <c r="AC375" s="111"/>
      <c r="AD375" s="111"/>
    </row>
    <row r="376" spans="1:30" ht="47.25" x14ac:dyDescent="0.25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87" t="s">
        <v>212</v>
      </c>
      <c r="S376" s="93" t="s">
        <v>52</v>
      </c>
      <c r="T376" s="47">
        <v>10</v>
      </c>
      <c r="U376" s="47">
        <v>0</v>
      </c>
      <c r="V376" s="47">
        <v>0</v>
      </c>
      <c r="W376" s="47">
        <v>0</v>
      </c>
      <c r="X376" s="47">
        <v>0</v>
      </c>
      <c r="Y376" s="47">
        <v>0</v>
      </c>
      <c r="Z376" s="55">
        <f t="shared" si="48"/>
        <v>10</v>
      </c>
      <c r="AA376" s="44">
        <v>2018</v>
      </c>
      <c r="AB376" s="139"/>
      <c r="AC376" s="111"/>
      <c r="AD376" s="111"/>
    </row>
    <row r="377" spans="1:30" ht="15.6" hidden="1" customHeight="1" x14ac:dyDescent="0.25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164" t="s">
        <v>268</v>
      </c>
      <c r="S377" s="70" t="s">
        <v>0</v>
      </c>
      <c r="T377" s="1">
        <f>SUM(T378:T381)</f>
        <v>721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66">
        <f t="shared" ref="Z377:Z440" si="49">SUM(T377:Y377)</f>
        <v>721</v>
      </c>
      <c r="AA377" s="65">
        <v>2018</v>
      </c>
      <c r="AB377" s="9"/>
      <c r="AC377" s="111"/>
      <c r="AD377" s="111"/>
    </row>
    <row r="378" spans="1:30" ht="15.6" hidden="1" customHeight="1" x14ac:dyDescent="0.25">
      <c r="A378" s="60" t="s">
        <v>19</v>
      </c>
      <c r="B378" s="60" t="s">
        <v>19</v>
      </c>
      <c r="C378" s="60" t="s">
        <v>26</v>
      </c>
      <c r="D378" s="60" t="s">
        <v>19</v>
      </c>
      <c r="E378" s="60" t="s">
        <v>22</v>
      </c>
      <c r="F378" s="60" t="s">
        <v>19</v>
      </c>
      <c r="G378" s="60" t="s">
        <v>23</v>
      </c>
      <c r="H378" s="60" t="s">
        <v>20</v>
      </c>
      <c r="I378" s="60" t="s">
        <v>25</v>
      </c>
      <c r="J378" s="60" t="s">
        <v>19</v>
      </c>
      <c r="K378" s="60" t="s">
        <v>19</v>
      </c>
      <c r="L378" s="60" t="s">
        <v>21</v>
      </c>
      <c r="M378" s="60" t="s">
        <v>20</v>
      </c>
      <c r="N378" s="60" t="s">
        <v>19</v>
      </c>
      <c r="O378" s="60" t="s">
        <v>25</v>
      </c>
      <c r="P378" s="60" t="s">
        <v>23</v>
      </c>
      <c r="Q378" s="60" t="s">
        <v>46</v>
      </c>
      <c r="R378" s="165"/>
      <c r="S378" s="70" t="s">
        <v>0</v>
      </c>
      <c r="T378" s="1">
        <v>288.39999999999998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66">
        <f t="shared" si="49"/>
        <v>288.39999999999998</v>
      </c>
      <c r="AA378" s="65">
        <v>2018</v>
      </c>
      <c r="AB378" s="9"/>
      <c r="AC378" s="111"/>
      <c r="AD378" s="111"/>
    </row>
    <row r="379" spans="1:30" ht="15.6" hidden="1" customHeight="1" x14ac:dyDescent="0.25">
      <c r="A379" s="60" t="s">
        <v>19</v>
      </c>
      <c r="B379" s="60" t="s">
        <v>19</v>
      </c>
      <c r="C379" s="60" t="s">
        <v>26</v>
      </c>
      <c r="D379" s="60" t="s">
        <v>19</v>
      </c>
      <c r="E379" s="60" t="s">
        <v>22</v>
      </c>
      <c r="F379" s="60" t="s">
        <v>19</v>
      </c>
      <c r="G379" s="60" t="s">
        <v>23</v>
      </c>
      <c r="H379" s="60" t="s">
        <v>20</v>
      </c>
      <c r="I379" s="60" t="s">
        <v>25</v>
      </c>
      <c r="J379" s="60" t="s">
        <v>19</v>
      </c>
      <c r="K379" s="60" t="s">
        <v>19</v>
      </c>
      <c r="L379" s="60" t="s">
        <v>21</v>
      </c>
      <c r="M379" s="60" t="s">
        <v>38</v>
      </c>
      <c r="N379" s="60" t="s">
        <v>19</v>
      </c>
      <c r="O379" s="60" t="s">
        <v>25</v>
      </c>
      <c r="P379" s="60" t="s">
        <v>23</v>
      </c>
      <c r="Q379" s="60" t="s">
        <v>47</v>
      </c>
      <c r="R379" s="165"/>
      <c r="S379" s="70" t="s">
        <v>0</v>
      </c>
      <c r="T379" s="1">
        <v>6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66">
        <f t="shared" si="49"/>
        <v>6</v>
      </c>
      <c r="AA379" s="65">
        <v>2018</v>
      </c>
      <c r="AB379" s="9"/>
      <c r="AC379" s="111"/>
      <c r="AD379" s="111"/>
    </row>
    <row r="380" spans="1:30" ht="15.6" hidden="1" customHeight="1" x14ac:dyDescent="0.25">
      <c r="A380" s="60" t="s">
        <v>19</v>
      </c>
      <c r="B380" s="60" t="s">
        <v>19</v>
      </c>
      <c r="C380" s="60" t="s">
        <v>26</v>
      </c>
      <c r="D380" s="60" t="s">
        <v>19</v>
      </c>
      <c r="E380" s="60" t="s">
        <v>22</v>
      </c>
      <c r="F380" s="60" t="s">
        <v>19</v>
      </c>
      <c r="G380" s="60" t="s">
        <v>23</v>
      </c>
      <c r="H380" s="60" t="s">
        <v>20</v>
      </c>
      <c r="I380" s="60" t="s">
        <v>25</v>
      </c>
      <c r="J380" s="60" t="s">
        <v>19</v>
      </c>
      <c r="K380" s="60" t="s">
        <v>19</v>
      </c>
      <c r="L380" s="60" t="s">
        <v>21</v>
      </c>
      <c r="M380" s="60" t="s">
        <v>38</v>
      </c>
      <c r="N380" s="60" t="s">
        <v>19</v>
      </c>
      <c r="O380" s="60" t="s">
        <v>25</v>
      </c>
      <c r="P380" s="60" t="s">
        <v>23</v>
      </c>
      <c r="Q380" s="60" t="s">
        <v>47</v>
      </c>
      <c r="R380" s="165"/>
      <c r="S380" s="70" t="s">
        <v>0</v>
      </c>
      <c r="T380" s="1">
        <v>151.4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66">
        <f t="shared" si="49"/>
        <v>151.4</v>
      </c>
      <c r="AA380" s="65">
        <v>2018</v>
      </c>
      <c r="AB380" s="9"/>
      <c r="AC380" s="111"/>
      <c r="AD380" s="111"/>
    </row>
    <row r="381" spans="1:30" ht="15.6" hidden="1" customHeight="1" x14ac:dyDescent="0.25">
      <c r="A381" s="60" t="s">
        <v>19</v>
      </c>
      <c r="B381" s="60" t="s">
        <v>19</v>
      </c>
      <c r="C381" s="60" t="s">
        <v>26</v>
      </c>
      <c r="D381" s="60" t="s">
        <v>19</v>
      </c>
      <c r="E381" s="60" t="s">
        <v>22</v>
      </c>
      <c r="F381" s="60" t="s">
        <v>19</v>
      </c>
      <c r="G381" s="60" t="s">
        <v>23</v>
      </c>
      <c r="H381" s="60" t="s">
        <v>20</v>
      </c>
      <c r="I381" s="60" t="s">
        <v>25</v>
      </c>
      <c r="J381" s="60" t="s">
        <v>19</v>
      </c>
      <c r="K381" s="60" t="s">
        <v>19</v>
      </c>
      <c r="L381" s="60" t="s">
        <v>21</v>
      </c>
      <c r="M381" s="60" t="s">
        <v>38</v>
      </c>
      <c r="N381" s="60" t="s">
        <v>19</v>
      </c>
      <c r="O381" s="60" t="s">
        <v>25</v>
      </c>
      <c r="P381" s="60" t="s">
        <v>23</v>
      </c>
      <c r="Q381" s="60" t="s">
        <v>40</v>
      </c>
      <c r="R381" s="166"/>
      <c r="S381" s="70" t="s">
        <v>0</v>
      </c>
      <c r="T381" s="1">
        <v>275.2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66">
        <f t="shared" si="49"/>
        <v>275.2</v>
      </c>
      <c r="AA381" s="65">
        <v>2018</v>
      </c>
      <c r="AB381" s="9"/>
      <c r="AC381" s="111"/>
      <c r="AD381" s="111"/>
    </row>
    <row r="382" spans="1:30" ht="31.15" hidden="1" customHeight="1" x14ac:dyDescent="0.25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87" t="s">
        <v>269</v>
      </c>
      <c r="S382" s="93" t="s">
        <v>8</v>
      </c>
      <c r="T382" s="47">
        <v>1</v>
      </c>
      <c r="U382" s="47">
        <v>0</v>
      </c>
      <c r="V382" s="47">
        <v>0</v>
      </c>
      <c r="W382" s="47">
        <v>0</v>
      </c>
      <c r="X382" s="47">
        <v>0</v>
      </c>
      <c r="Y382" s="47">
        <v>0</v>
      </c>
      <c r="Z382" s="55">
        <f t="shared" si="49"/>
        <v>1</v>
      </c>
      <c r="AA382" s="44">
        <v>2018</v>
      </c>
      <c r="AB382" s="9"/>
      <c r="AC382" s="111"/>
      <c r="AD382" s="111"/>
    </row>
    <row r="383" spans="1:30" ht="15.6" hidden="1" customHeight="1" x14ac:dyDescent="0.25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164" t="s">
        <v>270</v>
      </c>
      <c r="S383" s="70" t="s">
        <v>0</v>
      </c>
      <c r="T383" s="1">
        <f>SUM(T384:T387)</f>
        <v>960.80000000000007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66">
        <f t="shared" si="49"/>
        <v>960.80000000000007</v>
      </c>
      <c r="AA383" s="65">
        <v>2018</v>
      </c>
      <c r="AB383" s="9"/>
      <c r="AC383" s="111"/>
      <c r="AD383" s="111"/>
    </row>
    <row r="384" spans="1:30" ht="15.6" hidden="1" customHeight="1" x14ac:dyDescent="0.25">
      <c r="A384" s="60" t="s">
        <v>19</v>
      </c>
      <c r="B384" s="60" t="s">
        <v>19</v>
      </c>
      <c r="C384" s="60" t="s">
        <v>26</v>
      </c>
      <c r="D384" s="60" t="s">
        <v>19</v>
      </c>
      <c r="E384" s="60" t="s">
        <v>22</v>
      </c>
      <c r="F384" s="60" t="s">
        <v>19</v>
      </c>
      <c r="G384" s="60" t="s">
        <v>23</v>
      </c>
      <c r="H384" s="60" t="s">
        <v>20</v>
      </c>
      <c r="I384" s="60" t="s">
        <v>25</v>
      </c>
      <c r="J384" s="60" t="s">
        <v>19</v>
      </c>
      <c r="K384" s="60" t="s">
        <v>19</v>
      </c>
      <c r="L384" s="60" t="s">
        <v>21</v>
      </c>
      <c r="M384" s="60" t="s">
        <v>20</v>
      </c>
      <c r="N384" s="60" t="s">
        <v>19</v>
      </c>
      <c r="O384" s="60" t="s">
        <v>25</v>
      </c>
      <c r="P384" s="60" t="s">
        <v>23</v>
      </c>
      <c r="Q384" s="60" t="s">
        <v>46</v>
      </c>
      <c r="R384" s="165"/>
      <c r="S384" s="70" t="s">
        <v>0</v>
      </c>
      <c r="T384" s="1">
        <v>384.3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66">
        <f t="shared" si="49"/>
        <v>384.3</v>
      </c>
      <c r="AA384" s="65">
        <v>2018</v>
      </c>
      <c r="AB384" s="9"/>
      <c r="AC384" s="111"/>
      <c r="AD384" s="111"/>
    </row>
    <row r="385" spans="1:30" ht="15.6" hidden="1" customHeight="1" x14ac:dyDescent="0.25">
      <c r="A385" s="60" t="s">
        <v>19</v>
      </c>
      <c r="B385" s="60" t="s">
        <v>19</v>
      </c>
      <c r="C385" s="60" t="s">
        <v>26</v>
      </c>
      <c r="D385" s="60" t="s">
        <v>19</v>
      </c>
      <c r="E385" s="60" t="s">
        <v>22</v>
      </c>
      <c r="F385" s="60" t="s">
        <v>19</v>
      </c>
      <c r="G385" s="60" t="s">
        <v>23</v>
      </c>
      <c r="H385" s="60" t="s">
        <v>20</v>
      </c>
      <c r="I385" s="60" t="s">
        <v>25</v>
      </c>
      <c r="J385" s="60" t="s">
        <v>19</v>
      </c>
      <c r="K385" s="60" t="s">
        <v>19</v>
      </c>
      <c r="L385" s="60" t="s">
        <v>21</v>
      </c>
      <c r="M385" s="60" t="s">
        <v>38</v>
      </c>
      <c r="N385" s="60" t="s">
        <v>19</v>
      </c>
      <c r="O385" s="60" t="s">
        <v>25</v>
      </c>
      <c r="P385" s="60" t="s">
        <v>23</v>
      </c>
      <c r="Q385" s="60" t="s">
        <v>47</v>
      </c>
      <c r="R385" s="165"/>
      <c r="S385" s="70" t="s">
        <v>0</v>
      </c>
      <c r="T385" s="1">
        <v>25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66">
        <f t="shared" si="49"/>
        <v>25</v>
      </c>
      <c r="AA385" s="65">
        <v>2018</v>
      </c>
      <c r="AB385" s="9"/>
      <c r="AC385" s="111"/>
      <c r="AD385" s="111"/>
    </row>
    <row r="386" spans="1:30" ht="15.6" hidden="1" customHeight="1" x14ac:dyDescent="0.25">
      <c r="A386" s="60" t="s">
        <v>19</v>
      </c>
      <c r="B386" s="60" t="s">
        <v>19</v>
      </c>
      <c r="C386" s="60" t="s">
        <v>26</v>
      </c>
      <c r="D386" s="60" t="s">
        <v>19</v>
      </c>
      <c r="E386" s="60" t="s">
        <v>22</v>
      </c>
      <c r="F386" s="60" t="s">
        <v>19</v>
      </c>
      <c r="G386" s="60" t="s">
        <v>23</v>
      </c>
      <c r="H386" s="60" t="s">
        <v>20</v>
      </c>
      <c r="I386" s="60" t="s">
        <v>25</v>
      </c>
      <c r="J386" s="60" t="s">
        <v>19</v>
      </c>
      <c r="K386" s="60" t="s">
        <v>19</v>
      </c>
      <c r="L386" s="60" t="s">
        <v>21</v>
      </c>
      <c r="M386" s="60" t="s">
        <v>38</v>
      </c>
      <c r="N386" s="60" t="s">
        <v>19</v>
      </c>
      <c r="O386" s="60" t="s">
        <v>25</v>
      </c>
      <c r="P386" s="60" t="s">
        <v>23</v>
      </c>
      <c r="Q386" s="60" t="s">
        <v>47</v>
      </c>
      <c r="R386" s="165"/>
      <c r="S386" s="70" t="s">
        <v>0</v>
      </c>
      <c r="T386" s="1">
        <v>212.4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66">
        <f t="shared" si="49"/>
        <v>212.4</v>
      </c>
      <c r="AA386" s="65">
        <v>2018</v>
      </c>
      <c r="AB386" s="9"/>
      <c r="AC386" s="111"/>
      <c r="AD386" s="111"/>
    </row>
    <row r="387" spans="1:30" ht="15.6" hidden="1" customHeight="1" x14ac:dyDescent="0.25">
      <c r="A387" s="60" t="s">
        <v>19</v>
      </c>
      <c r="B387" s="60" t="s">
        <v>19</v>
      </c>
      <c r="C387" s="60" t="s">
        <v>26</v>
      </c>
      <c r="D387" s="60" t="s">
        <v>19</v>
      </c>
      <c r="E387" s="60" t="s">
        <v>22</v>
      </c>
      <c r="F387" s="60" t="s">
        <v>19</v>
      </c>
      <c r="G387" s="60" t="s">
        <v>23</v>
      </c>
      <c r="H387" s="60" t="s">
        <v>20</v>
      </c>
      <c r="I387" s="60" t="s">
        <v>25</v>
      </c>
      <c r="J387" s="60" t="s">
        <v>19</v>
      </c>
      <c r="K387" s="60" t="s">
        <v>19</v>
      </c>
      <c r="L387" s="60" t="s">
        <v>21</v>
      </c>
      <c r="M387" s="60" t="s">
        <v>38</v>
      </c>
      <c r="N387" s="60" t="s">
        <v>19</v>
      </c>
      <c r="O387" s="60" t="s">
        <v>25</v>
      </c>
      <c r="P387" s="60" t="s">
        <v>23</v>
      </c>
      <c r="Q387" s="60" t="s">
        <v>40</v>
      </c>
      <c r="R387" s="166"/>
      <c r="S387" s="70" t="s">
        <v>0</v>
      </c>
      <c r="T387" s="1">
        <v>339.1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66">
        <f t="shared" si="49"/>
        <v>339.1</v>
      </c>
      <c r="AA387" s="65">
        <v>2018</v>
      </c>
      <c r="AB387" s="9"/>
      <c r="AC387" s="111"/>
      <c r="AD387" s="111"/>
    </row>
    <row r="388" spans="1:30" ht="31.15" hidden="1" customHeight="1" x14ac:dyDescent="0.25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87" t="s">
        <v>271</v>
      </c>
      <c r="S388" s="93" t="s">
        <v>194</v>
      </c>
      <c r="T388" s="3">
        <v>78</v>
      </c>
      <c r="U388" s="3">
        <v>0</v>
      </c>
      <c r="V388" s="3">
        <v>0</v>
      </c>
      <c r="W388" s="3">
        <v>0</v>
      </c>
      <c r="X388" s="3">
        <v>0</v>
      </c>
      <c r="Y388" s="3">
        <v>0</v>
      </c>
      <c r="Z388" s="6">
        <f t="shared" si="49"/>
        <v>78</v>
      </c>
      <c r="AA388" s="44">
        <v>2018</v>
      </c>
      <c r="AB388" s="9"/>
      <c r="AC388" s="111"/>
      <c r="AD388" s="111"/>
    </row>
    <row r="389" spans="1:30" ht="15.6" hidden="1" customHeight="1" x14ac:dyDescent="0.25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164" t="s">
        <v>272</v>
      </c>
      <c r="S389" s="70" t="s">
        <v>0</v>
      </c>
      <c r="T389" s="1">
        <f>SUM(T390:T393)</f>
        <v>301.2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66">
        <f t="shared" si="49"/>
        <v>301.2</v>
      </c>
      <c r="AA389" s="65">
        <v>2018</v>
      </c>
      <c r="AB389" s="9"/>
      <c r="AC389" s="111"/>
      <c r="AD389" s="111"/>
    </row>
    <row r="390" spans="1:30" ht="15.6" hidden="1" customHeight="1" x14ac:dyDescent="0.25">
      <c r="A390" s="60" t="s">
        <v>19</v>
      </c>
      <c r="B390" s="60" t="s">
        <v>19</v>
      </c>
      <c r="C390" s="60" t="s">
        <v>26</v>
      </c>
      <c r="D390" s="60" t="s">
        <v>19</v>
      </c>
      <c r="E390" s="60" t="s">
        <v>22</v>
      </c>
      <c r="F390" s="60" t="s">
        <v>19</v>
      </c>
      <c r="G390" s="60" t="s">
        <v>23</v>
      </c>
      <c r="H390" s="60" t="s">
        <v>20</v>
      </c>
      <c r="I390" s="60" t="s">
        <v>25</v>
      </c>
      <c r="J390" s="60" t="s">
        <v>19</v>
      </c>
      <c r="K390" s="60" t="s">
        <v>19</v>
      </c>
      <c r="L390" s="60" t="s">
        <v>21</v>
      </c>
      <c r="M390" s="60" t="s">
        <v>20</v>
      </c>
      <c r="N390" s="60" t="s">
        <v>19</v>
      </c>
      <c r="O390" s="60" t="s">
        <v>25</v>
      </c>
      <c r="P390" s="60" t="s">
        <v>23</v>
      </c>
      <c r="Q390" s="60" t="s">
        <v>46</v>
      </c>
      <c r="R390" s="165"/>
      <c r="S390" s="70" t="s">
        <v>0</v>
      </c>
      <c r="T390" s="1">
        <v>114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66">
        <f t="shared" si="49"/>
        <v>114</v>
      </c>
      <c r="AA390" s="65">
        <v>2018</v>
      </c>
      <c r="AB390" s="9"/>
      <c r="AC390" s="111"/>
      <c r="AD390" s="111"/>
    </row>
    <row r="391" spans="1:30" ht="15.6" hidden="1" customHeight="1" x14ac:dyDescent="0.25">
      <c r="A391" s="60" t="s">
        <v>19</v>
      </c>
      <c r="B391" s="60" t="s">
        <v>19</v>
      </c>
      <c r="C391" s="60" t="s">
        <v>26</v>
      </c>
      <c r="D391" s="60" t="s">
        <v>19</v>
      </c>
      <c r="E391" s="60" t="s">
        <v>22</v>
      </c>
      <c r="F391" s="60" t="s">
        <v>19</v>
      </c>
      <c r="G391" s="60" t="s">
        <v>23</v>
      </c>
      <c r="H391" s="60" t="s">
        <v>20</v>
      </c>
      <c r="I391" s="60" t="s">
        <v>25</v>
      </c>
      <c r="J391" s="60" t="s">
        <v>19</v>
      </c>
      <c r="K391" s="60" t="s">
        <v>19</v>
      </c>
      <c r="L391" s="60" t="s">
        <v>21</v>
      </c>
      <c r="M391" s="60" t="s">
        <v>38</v>
      </c>
      <c r="N391" s="60" t="s">
        <v>19</v>
      </c>
      <c r="O391" s="60" t="s">
        <v>25</v>
      </c>
      <c r="P391" s="60" t="s">
        <v>23</v>
      </c>
      <c r="Q391" s="60" t="s">
        <v>47</v>
      </c>
      <c r="R391" s="165"/>
      <c r="S391" s="70" t="s">
        <v>0</v>
      </c>
      <c r="T391" s="1">
        <v>10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66">
        <f t="shared" si="49"/>
        <v>10</v>
      </c>
      <c r="AA391" s="65">
        <v>2018</v>
      </c>
      <c r="AB391" s="9"/>
      <c r="AC391" s="111"/>
      <c r="AD391" s="111"/>
    </row>
    <row r="392" spans="1:30" ht="15.6" hidden="1" customHeight="1" x14ac:dyDescent="0.25">
      <c r="A392" s="60" t="s">
        <v>19</v>
      </c>
      <c r="B392" s="60" t="s">
        <v>19</v>
      </c>
      <c r="C392" s="60" t="s">
        <v>26</v>
      </c>
      <c r="D392" s="60" t="s">
        <v>19</v>
      </c>
      <c r="E392" s="60" t="s">
        <v>22</v>
      </c>
      <c r="F392" s="60" t="s">
        <v>19</v>
      </c>
      <c r="G392" s="60" t="s">
        <v>23</v>
      </c>
      <c r="H392" s="60" t="s">
        <v>20</v>
      </c>
      <c r="I392" s="60" t="s">
        <v>25</v>
      </c>
      <c r="J392" s="60" t="s">
        <v>19</v>
      </c>
      <c r="K392" s="60" t="s">
        <v>19</v>
      </c>
      <c r="L392" s="60" t="s">
        <v>21</v>
      </c>
      <c r="M392" s="60" t="s">
        <v>38</v>
      </c>
      <c r="N392" s="60" t="s">
        <v>19</v>
      </c>
      <c r="O392" s="60" t="s">
        <v>25</v>
      </c>
      <c r="P392" s="60" t="s">
        <v>23</v>
      </c>
      <c r="Q392" s="60" t="s">
        <v>47</v>
      </c>
      <c r="R392" s="165"/>
      <c r="S392" s="70" t="s">
        <v>0</v>
      </c>
      <c r="T392" s="1">
        <v>63.2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66">
        <f t="shared" si="49"/>
        <v>63.2</v>
      </c>
      <c r="AA392" s="65">
        <v>2018</v>
      </c>
      <c r="AB392" s="9"/>
      <c r="AC392" s="111"/>
      <c r="AD392" s="111"/>
    </row>
    <row r="393" spans="1:30" ht="15.6" hidden="1" customHeight="1" x14ac:dyDescent="0.25">
      <c r="A393" s="60" t="s">
        <v>19</v>
      </c>
      <c r="B393" s="60" t="s">
        <v>19</v>
      </c>
      <c r="C393" s="60" t="s">
        <v>26</v>
      </c>
      <c r="D393" s="60" t="s">
        <v>19</v>
      </c>
      <c r="E393" s="60" t="s">
        <v>22</v>
      </c>
      <c r="F393" s="60" t="s">
        <v>19</v>
      </c>
      <c r="G393" s="60" t="s">
        <v>23</v>
      </c>
      <c r="H393" s="60" t="s">
        <v>20</v>
      </c>
      <c r="I393" s="60" t="s">
        <v>25</v>
      </c>
      <c r="J393" s="60" t="s">
        <v>19</v>
      </c>
      <c r="K393" s="60" t="s">
        <v>19</v>
      </c>
      <c r="L393" s="60" t="s">
        <v>21</v>
      </c>
      <c r="M393" s="60" t="s">
        <v>38</v>
      </c>
      <c r="N393" s="60" t="s">
        <v>19</v>
      </c>
      <c r="O393" s="60" t="s">
        <v>25</v>
      </c>
      <c r="P393" s="60" t="s">
        <v>23</v>
      </c>
      <c r="Q393" s="60" t="s">
        <v>40</v>
      </c>
      <c r="R393" s="166"/>
      <c r="S393" s="70" t="s">
        <v>0</v>
      </c>
      <c r="T393" s="1">
        <v>114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66">
        <f t="shared" si="49"/>
        <v>114</v>
      </c>
      <c r="AA393" s="65">
        <v>2018</v>
      </c>
      <c r="AB393" s="9"/>
      <c r="AC393" s="111"/>
      <c r="AD393" s="111"/>
    </row>
    <row r="394" spans="1:30" ht="45" hidden="1" customHeight="1" x14ac:dyDescent="0.25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87" t="s">
        <v>273</v>
      </c>
      <c r="S394" s="93" t="s">
        <v>52</v>
      </c>
      <c r="T394" s="47">
        <v>12</v>
      </c>
      <c r="U394" s="47">
        <v>0</v>
      </c>
      <c r="V394" s="47">
        <v>0</v>
      </c>
      <c r="W394" s="47">
        <v>0</v>
      </c>
      <c r="X394" s="47">
        <v>0</v>
      </c>
      <c r="Y394" s="47">
        <v>0</v>
      </c>
      <c r="Z394" s="55">
        <f t="shared" si="49"/>
        <v>12</v>
      </c>
      <c r="AA394" s="44">
        <v>2018</v>
      </c>
      <c r="AB394" s="9"/>
      <c r="AC394" s="111"/>
      <c r="AD394" s="111"/>
    </row>
    <row r="395" spans="1:30" ht="15.6" hidden="1" customHeight="1" x14ac:dyDescent="0.25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164" t="s">
        <v>274</v>
      </c>
      <c r="S395" s="70" t="s">
        <v>0</v>
      </c>
      <c r="T395" s="1">
        <f>SUM(T396:T399)</f>
        <v>465.4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66">
        <f t="shared" si="49"/>
        <v>465.4</v>
      </c>
      <c r="AA395" s="65">
        <v>2018</v>
      </c>
      <c r="AB395" s="9"/>
      <c r="AC395" s="111"/>
      <c r="AD395" s="111"/>
    </row>
    <row r="396" spans="1:30" ht="15.6" hidden="1" customHeight="1" x14ac:dyDescent="0.25">
      <c r="A396" s="60" t="s">
        <v>19</v>
      </c>
      <c r="B396" s="60" t="s">
        <v>19</v>
      </c>
      <c r="C396" s="60" t="s">
        <v>26</v>
      </c>
      <c r="D396" s="60" t="s">
        <v>19</v>
      </c>
      <c r="E396" s="60" t="s">
        <v>22</v>
      </c>
      <c r="F396" s="60" t="s">
        <v>19</v>
      </c>
      <c r="G396" s="60" t="s">
        <v>23</v>
      </c>
      <c r="H396" s="60" t="s">
        <v>20</v>
      </c>
      <c r="I396" s="60" t="s">
        <v>25</v>
      </c>
      <c r="J396" s="60" t="s">
        <v>19</v>
      </c>
      <c r="K396" s="60" t="s">
        <v>19</v>
      </c>
      <c r="L396" s="60" t="s">
        <v>21</v>
      </c>
      <c r="M396" s="60" t="s">
        <v>20</v>
      </c>
      <c r="N396" s="60" t="s">
        <v>19</v>
      </c>
      <c r="O396" s="60" t="s">
        <v>25</v>
      </c>
      <c r="P396" s="60" t="s">
        <v>23</v>
      </c>
      <c r="Q396" s="60" t="s">
        <v>46</v>
      </c>
      <c r="R396" s="165"/>
      <c r="S396" s="70" t="s">
        <v>0</v>
      </c>
      <c r="T396" s="1">
        <v>178.8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66">
        <f t="shared" si="49"/>
        <v>178.8</v>
      </c>
      <c r="AA396" s="65">
        <v>2018</v>
      </c>
      <c r="AB396" s="9"/>
      <c r="AC396" s="111"/>
      <c r="AD396" s="111"/>
    </row>
    <row r="397" spans="1:30" ht="15.6" hidden="1" customHeight="1" x14ac:dyDescent="0.25">
      <c r="A397" s="60" t="s">
        <v>19</v>
      </c>
      <c r="B397" s="60" t="s">
        <v>19</v>
      </c>
      <c r="C397" s="60" t="s">
        <v>26</v>
      </c>
      <c r="D397" s="60" t="s">
        <v>19</v>
      </c>
      <c r="E397" s="60" t="s">
        <v>22</v>
      </c>
      <c r="F397" s="60" t="s">
        <v>19</v>
      </c>
      <c r="G397" s="60" t="s">
        <v>23</v>
      </c>
      <c r="H397" s="60" t="s">
        <v>20</v>
      </c>
      <c r="I397" s="60" t="s">
        <v>25</v>
      </c>
      <c r="J397" s="60" t="s">
        <v>19</v>
      </c>
      <c r="K397" s="60" t="s">
        <v>19</v>
      </c>
      <c r="L397" s="60" t="s">
        <v>21</v>
      </c>
      <c r="M397" s="60" t="s">
        <v>38</v>
      </c>
      <c r="N397" s="60" t="s">
        <v>19</v>
      </c>
      <c r="O397" s="60" t="s">
        <v>25</v>
      </c>
      <c r="P397" s="60" t="s">
        <v>23</v>
      </c>
      <c r="Q397" s="60" t="s">
        <v>47</v>
      </c>
      <c r="R397" s="165"/>
      <c r="S397" s="70" t="s">
        <v>0</v>
      </c>
      <c r="T397" s="1">
        <v>10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66">
        <f t="shared" si="49"/>
        <v>10</v>
      </c>
      <c r="AA397" s="65">
        <v>2018</v>
      </c>
      <c r="AB397" s="9"/>
      <c r="AC397" s="111"/>
      <c r="AD397" s="111"/>
    </row>
    <row r="398" spans="1:30" ht="15.6" hidden="1" customHeight="1" x14ac:dyDescent="0.25">
      <c r="A398" s="60" t="s">
        <v>19</v>
      </c>
      <c r="B398" s="60" t="s">
        <v>19</v>
      </c>
      <c r="C398" s="60" t="s">
        <v>26</v>
      </c>
      <c r="D398" s="60" t="s">
        <v>19</v>
      </c>
      <c r="E398" s="60" t="s">
        <v>22</v>
      </c>
      <c r="F398" s="60" t="s">
        <v>19</v>
      </c>
      <c r="G398" s="60" t="s">
        <v>23</v>
      </c>
      <c r="H398" s="60" t="s">
        <v>20</v>
      </c>
      <c r="I398" s="60" t="s">
        <v>25</v>
      </c>
      <c r="J398" s="60" t="s">
        <v>19</v>
      </c>
      <c r="K398" s="60" t="s">
        <v>19</v>
      </c>
      <c r="L398" s="60" t="s">
        <v>21</v>
      </c>
      <c r="M398" s="60" t="s">
        <v>38</v>
      </c>
      <c r="N398" s="60" t="s">
        <v>19</v>
      </c>
      <c r="O398" s="60" t="s">
        <v>25</v>
      </c>
      <c r="P398" s="60" t="s">
        <v>23</v>
      </c>
      <c r="Q398" s="60" t="s">
        <v>47</v>
      </c>
      <c r="R398" s="165"/>
      <c r="S398" s="70" t="s">
        <v>0</v>
      </c>
      <c r="T398" s="1">
        <v>97.7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66">
        <f t="shared" si="49"/>
        <v>97.7</v>
      </c>
      <c r="AA398" s="65">
        <v>2018</v>
      </c>
      <c r="AB398" s="9"/>
      <c r="AC398" s="111"/>
      <c r="AD398" s="111"/>
    </row>
    <row r="399" spans="1:30" ht="15.6" hidden="1" customHeight="1" x14ac:dyDescent="0.25">
      <c r="A399" s="60" t="s">
        <v>19</v>
      </c>
      <c r="B399" s="60" t="s">
        <v>19</v>
      </c>
      <c r="C399" s="60" t="s">
        <v>26</v>
      </c>
      <c r="D399" s="60" t="s">
        <v>19</v>
      </c>
      <c r="E399" s="60" t="s">
        <v>22</v>
      </c>
      <c r="F399" s="60" t="s">
        <v>19</v>
      </c>
      <c r="G399" s="60" t="s">
        <v>23</v>
      </c>
      <c r="H399" s="60" t="s">
        <v>20</v>
      </c>
      <c r="I399" s="60" t="s">
        <v>25</v>
      </c>
      <c r="J399" s="60" t="s">
        <v>19</v>
      </c>
      <c r="K399" s="60" t="s">
        <v>19</v>
      </c>
      <c r="L399" s="60" t="s">
        <v>21</v>
      </c>
      <c r="M399" s="60" t="s">
        <v>38</v>
      </c>
      <c r="N399" s="60" t="s">
        <v>19</v>
      </c>
      <c r="O399" s="60" t="s">
        <v>25</v>
      </c>
      <c r="P399" s="60" t="s">
        <v>23</v>
      </c>
      <c r="Q399" s="60" t="s">
        <v>40</v>
      </c>
      <c r="R399" s="166"/>
      <c r="S399" s="70" t="s">
        <v>0</v>
      </c>
      <c r="T399" s="1">
        <v>178.9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66">
        <f t="shared" si="49"/>
        <v>178.9</v>
      </c>
      <c r="AA399" s="65">
        <v>2018</v>
      </c>
      <c r="AB399" s="9"/>
      <c r="AC399" s="111"/>
      <c r="AD399" s="111"/>
    </row>
    <row r="400" spans="1:30" ht="41.45" hidden="1" customHeight="1" x14ac:dyDescent="0.2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87" t="s">
        <v>275</v>
      </c>
      <c r="S400" s="93" t="s">
        <v>193</v>
      </c>
      <c r="T400" s="3">
        <v>127</v>
      </c>
      <c r="U400" s="3">
        <v>0</v>
      </c>
      <c r="V400" s="3">
        <v>0</v>
      </c>
      <c r="W400" s="3">
        <v>0</v>
      </c>
      <c r="X400" s="3">
        <v>0</v>
      </c>
      <c r="Y400" s="3">
        <v>0</v>
      </c>
      <c r="Z400" s="6">
        <f t="shared" si="49"/>
        <v>127</v>
      </c>
      <c r="AA400" s="44">
        <v>2018</v>
      </c>
      <c r="AB400" s="9"/>
      <c r="AC400" s="111"/>
      <c r="AD400" s="111"/>
    </row>
    <row r="401" spans="1:30" ht="15.6" hidden="1" customHeight="1" x14ac:dyDescent="0.25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164" t="s">
        <v>276</v>
      </c>
      <c r="S401" s="70" t="s">
        <v>0</v>
      </c>
      <c r="T401" s="1">
        <f>SUM(T402:T405)</f>
        <v>482.90000000000003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66">
        <f t="shared" si="49"/>
        <v>482.90000000000003</v>
      </c>
      <c r="AA401" s="65">
        <v>2018</v>
      </c>
      <c r="AB401" s="9"/>
      <c r="AC401" s="111"/>
      <c r="AD401" s="111"/>
    </row>
    <row r="402" spans="1:30" ht="15.6" hidden="1" customHeight="1" x14ac:dyDescent="0.25">
      <c r="A402" s="60" t="s">
        <v>19</v>
      </c>
      <c r="B402" s="60" t="s">
        <v>19</v>
      </c>
      <c r="C402" s="60" t="s">
        <v>26</v>
      </c>
      <c r="D402" s="60" t="s">
        <v>19</v>
      </c>
      <c r="E402" s="60" t="s">
        <v>22</v>
      </c>
      <c r="F402" s="60" t="s">
        <v>19</v>
      </c>
      <c r="G402" s="60" t="s">
        <v>23</v>
      </c>
      <c r="H402" s="60" t="s">
        <v>20</v>
      </c>
      <c r="I402" s="60" t="s">
        <v>25</v>
      </c>
      <c r="J402" s="60" t="s">
        <v>19</v>
      </c>
      <c r="K402" s="60" t="s">
        <v>19</v>
      </c>
      <c r="L402" s="60" t="s">
        <v>21</v>
      </c>
      <c r="M402" s="60" t="s">
        <v>20</v>
      </c>
      <c r="N402" s="60" t="s">
        <v>19</v>
      </c>
      <c r="O402" s="60" t="s">
        <v>25</v>
      </c>
      <c r="P402" s="60" t="s">
        <v>23</v>
      </c>
      <c r="Q402" s="60" t="s">
        <v>46</v>
      </c>
      <c r="R402" s="165"/>
      <c r="S402" s="70" t="s">
        <v>0</v>
      </c>
      <c r="T402" s="1">
        <v>193.2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66">
        <f t="shared" si="49"/>
        <v>193.2</v>
      </c>
      <c r="AA402" s="65">
        <v>2018</v>
      </c>
      <c r="AB402" s="9"/>
      <c r="AC402" s="111"/>
      <c r="AD402" s="111"/>
    </row>
    <row r="403" spans="1:30" ht="15.6" hidden="1" customHeight="1" x14ac:dyDescent="0.25">
      <c r="A403" s="60" t="s">
        <v>19</v>
      </c>
      <c r="B403" s="60" t="s">
        <v>19</v>
      </c>
      <c r="C403" s="60" t="s">
        <v>26</v>
      </c>
      <c r="D403" s="60" t="s">
        <v>19</v>
      </c>
      <c r="E403" s="60" t="s">
        <v>22</v>
      </c>
      <c r="F403" s="60" t="s">
        <v>19</v>
      </c>
      <c r="G403" s="60" t="s">
        <v>23</v>
      </c>
      <c r="H403" s="60" t="s">
        <v>20</v>
      </c>
      <c r="I403" s="60" t="s">
        <v>25</v>
      </c>
      <c r="J403" s="60" t="s">
        <v>19</v>
      </c>
      <c r="K403" s="60" t="s">
        <v>19</v>
      </c>
      <c r="L403" s="60" t="s">
        <v>21</v>
      </c>
      <c r="M403" s="60" t="s">
        <v>38</v>
      </c>
      <c r="N403" s="60" t="s">
        <v>19</v>
      </c>
      <c r="O403" s="60" t="s">
        <v>25</v>
      </c>
      <c r="P403" s="60" t="s">
        <v>23</v>
      </c>
      <c r="Q403" s="60" t="s">
        <v>47</v>
      </c>
      <c r="R403" s="165"/>
      <c r="S403" s="70" t="s">
        <v>0</v>
      </c>
      <c r="T403" s="1">
        <v>10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66">
        <f t="shared" si="49"/>
        <v>10</v>
      </c>
      <c r="AA403" s="65">
        <v>2018</v>
      </c>
      <c r="AB403" s="9"/>
      <c r="AC403" s="111"/>
      <c r="AD403" s="111"/>
    </row>
    <row r="404" spans="1:30" ht="15.6" hidden="1" customHeight="1" x14ac:dyDescent="0.25">
      <c r="A404" s="60" t="s">
        <v>19</v>
      </c>
      <c r="B404" s="60" t="s">
        <v>19</v>
      </c>
      <c r="C404" s="60" t="s">
        <v>26</v>
      </c>
      <c r="D404" s="60" t="s">
        <v>19</v>
      </c>
      <c r="E404" s="60" t="s">
        <v>22</v>
      </c>
      <c r="F404" s="60" t="s">
        <v>19</v>
      </c>
      <c r="G404" s="60" t="s">
        <v>23</v>
      </c>
      <c r="H404" s="60" t="s">
        <v>20</v>
      </c>
      <c r="I404" s="60" t="s">
        <v>25</v>
      </c>
      <c r="J404" s="60" t="s">
        <v>19</v>
      </c>
      <c r="K404" s="60" t="s">
        <v>19</v>
      </c>
      <c r="L404" s="60" t="s">
        <v>21</v>
      </c>
      <c r="M404" s="60" t="s">
        <v>38</v>
      </c>
      <c r="N404" s="60" t="s">
        <v>19</v>
      </c>
      <c r="O404" s="60" t="s">
        <v>25</v>
      </c>
      <c r="P404" s="60" t="s">
        <v>23</v>
      </c>
      <c r="Q404" s="60" t="s">
        <v>47</v>
      </c>
      <c r="R404" s="165"/>
      <c r="S404" s="70" t="s">
        <v>0</v>
      </c>
      <c r="T404" s="1">
        <v>101.4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66">
        <f t="shared" si="49"/>
        <v>101.4</v>
      </c>
      <c r="AA404" s="65">
        <v>2018</v>
      </c>
      <c r="AB404" s="9"/>
      <c r="AC404" s="111"/>
      <c r="AD404" s="111"/>
    </row>
    <row r="405" spans="1:30" ht="15.6" hidden="1" customHeight="1" x14ac:dyDescent="0.25">
      <c r="A405" s="60" t="s">
        <v>19</v>
      </c>
      <c r="B405" s="60" t="s">
        <v>19</v>
      </c>
      <c r="C405" s="60" t="s">
        <v>26</v>
      </c>
      <c r="D405" s="60" t="s">
        <v>19</v>
      </c>
      <c r="E405" s="60" t="s">
        <v>22</v>
      </c>
      <c r="F405" s="60" t="s">
        <v>19</v>
      </c>
      <c r="G405" s="60" t="s">
        <v>23</v>
      </c>
      <c r="H405" s="60" t="s">
        <v>20</v>
      </c>
      <c r="I405" s="60" t="s">
        <v>25</v>
      </c>
      <c r="J405" s="60" t="s">
        <v>19</v>
      </c>
      <c r="K405" s="60" t="s">
        <v>19</v>
      </c>
      <c r="L405" s="60" t="s">
        <v>21</v>
      </c>
      <c r="M405" s="60" t="s">
        <v>38</v>
      </c>
      <c r="N405" s="60" t="s">
        <v>19</v>
      </c>
      <c r="O405" s="60" t="s">
        <v>25</v>
      </c>
      <c r="P405" s="60" t="s">
        <v>23</v>
      </c>
      <c r="Q405" s="60" t="s">
        <v>40</v>
      </c>
      <c r="R405" s="166"/>
      <c r="S405" s="70" t="s">
        <v>0</v>
      </c>
      <c r="T405" s="1">
        <v>178.3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66">
        <f t="shared" si="49"/>
        <v>178.3</v>
      </c>
      <c r="AA405" s="65">
        <v>2018</v>
      </c>
      <c r="AB405" s="9"/>
      <c r="AC405" s="111"/>
      <c r="AD405" s="111"/>
    </row>
    <row r="406" spans="1:30" ht="42" hidden="1" customHeight="1" x14ac:dyDescent="0.2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87" t="s">
        <v>277</v>
      </c>
      <c r="S406" s="93" t="s">
        <v>193</v>
      </c>
      <c r="T406" s="3">
        <v>131</v>
      </c>
      <c r="U406" s="3">
        <v>0</v>
      </c>
      <c r="V406" s="3">
        <v>0</v>
      </c>
      <c r="W406" s="3">
        <v>0</v>
      </c>
      <c r="X406" s="3">
        <v>0</v>
      </c>
      <c r="Y406" s="3">
        <v>0</v>
      </c>
      <c r="Z406" s="6">
        <f t="shared" si="49"/>
        <v>131</v>
      </c>
      <c r="AA406" s="44">
        <v>2018</v>
      </c>
      <c r="AB406" s="9"/>
      <c r="AC406" s="111"/>
      <c r="AD406" s="111"/>
    </row>
    <row r="407" spans="1:30" ht="18.75" hidden="1" customHeight="1" x14ac:dyDescent="0.25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164" t="s">
        <v>278</v>
      </c>
      <c r="S407" s="70" t="s">
        <v>0</v>
      </c>
      <c r="T407" s="1">
        <f>SUM(T408:T410)</f>
        <v>880.6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66">
        <f t="shared" si="49"/>
        <v>880.6</v>
      </c>
      <c r="AA407" s="65">
        <v>2018</v>
      </c>
      <c r="AB407" s="9"/>
      <c r="AC407" s="111"/>
      <c r="AD407" s="111"/>
    </row>
    <row r="408" spans="1:30" ht="18.75" hidden="1" customHeight="1" x14ac:dyDescent="0.25">
      <c r="A408" s="60" t="s">
        <v>19</v>
      </c>
      <c r="B408" s="60" t="s">
        <v>19</v>
      </c>
      <c r="C408" s="60" t="s">
        <v>26</v>
      </c>
      <c r="D408" s="60" t="s">
        <v>19</v>
      </c>
      <c r="E408" s="60" t="s">
        <v>22</v>
      </c>
      <c r="F408" s="60" t="s">
        <v>19</v>
      </c>
      <c r="G408" s="60" t="s">
        <v>23</v>
      </c>
      <c r="H408" s="60" t="s">
        <v>20</v>
      </c>
      <c r="I408" s="60" t="s">
        <v>25</v>
      </c>
      <c r="J408" s="60" t="s">
        <v>19</v>
      </c>
      <c r="K408" s="60" t="s">
        <v>19</v>
      </c>
      <c r="L408" s="60" t="s">
        <v>21</v>
      </c>
      <c r="M408" s="60" t="s">
        <v>20</v>
      </c>
      <c r="N408" s="60" t="s">
        <v>19</v>
      </c>
      <c r="O408" s="60" t="s">
        <v>25</v>
      </c>
      <c r="P408" s="60" t="s">
        <v>23</v>
      </c>
      <c r="Q408" s="60" t="s">
        <v>46</v>
      </c>
      <c r="R408" s="165"/>
      <c r="S408" s="70" t="s">
        <v>0</v>
      </c>
      <c r="T408" s="1">
        <v>352.2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66">
        <f t="shared" si="49"/>
        <v>352.2</v>
      </c>
      <c r="AA408" s="65">
        <v>2018</v>
      </c>
      <c r="AB408" s="9"/>
      <c r="AC408" s="111"/>
      <c r="AD408" s="111"/>
    </row>
    <row r="409" spans="1:30" ht="18.75" hidden="1" customHeight="1" x14ac:dyDescent="0.25">
      <c r="A409" s="60" t="s">
        <v>19</v>
      </c>
      <c r="B409" s="60" t="s">
        <v>19</v>
      </c>
      <c r="C409" s="60" t="s">
        <v>26</v>
      </c>
      <c r="D409" s="60" t="s">
        <v>19</v>
      </c>
      <c r="E409" s="60" t="s">
        <v>22</v>
      </c>
      <c r="F409" s="60" t="s">
        <v>19</v>
      </c>
      <c r="G409" s="60" t="s">
        <v>23</v>
      </c>
      <c r="H409" s="60" t="s">
        <v>20</v>
      </c>
      <c r="I409" s="60" t="s">
        <v>25</v>
      </c>
      <c r="J409" s="60" t="s">
        <v>19</v>
      </c>
      <c r="K409" s="60" t="s">
        <v>19</v>
      </c>
      <c r="L409" s="60" t="s">
        <v>21</v>
      </c>
      <c r="M409" s="60" t="s">
        <v>38</v>
      </c>
      <c r="N409" s="60" t="s">
        <v>19</v>
      </c>
      <c r="O409" s="60" t="s">
        <v>25</v>
      </c>
      <c r="P409" s="60" t="s">
        <v>23</v>
      </c>
      <c r="Q409" s="60" t="s">
        <v>47</v>
      </c>
      <c r="R409" s="165"/>
      <c r="S409" s="70" t="s">
        <v>0</v>
      </c>
      <c r="T409" s="1">
        <v>140.9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66">
        <f t="shared" si="49"/>
        <v>140.9</v>
      </c>
      <c r="AA409" s="65">
        <v>2018</v>
      </c>
      <c r="AB409" s="9"/>
      <c r="AC409" s="111"/>
      <c r="AD409" s="111"/>
    </row>
    <row r="410" spans="1:30" ht="18.75" hidden="1" customHeight="1" x14ac:dyDescent="0.25">
      <c r="A410" s="60" t="s">
        <v>19</v>
      </c>
      <c r="B410" s="60" t="s">
        <v>19</v>
      </c>
      <c r="C410" s="60" t="s">
        <v>26</v>
      </c>
      <c r="D410" s="60" t="s">
        <v>19</v>
      </c>
      <c r="E410" s="60" t="s">
        <v>22</v>
      </c>
      <c r="F410" s="60" t="s">
        <v>19</v>
      </c>
      <c r="G410" s="60" t="s">
        <v>23</v>
      </c>
      <c r="H410" s="60" t="s">
        <v>20</v>
      </c>
      <c r="I410" s="60" t="s">
        <v>25</v>
      </c>
      <c r="J410" s="60" t="s">
        <v>19</v>
      </c>
      <c r="K410" s="60" t="s">
        <v>19</v>
      </c>
      <c r="L410" s="60" t="s">
        <v>21</v>
      </c>
      <c r="M410" s="60" t="s">
        <v>38</v>
      </c>
      <c r="N410" s="60" t="s">
        <v>19</v>
      </c>
      <c r="O410" s="60" t="s">
        <v>25</v>
      </c>
      <c r="P410" s="60" t="s">
        <v>23</v>
      </c>
      <c r="Q410" s="60" t="s">
        <v>40</v>
      </c>
      <c r="R410" s="166"/>
      <c r="S410" s="70" t="s">
        <v>0</v>
      </c>
      <c r="T410" s="1">
        <v>387.5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66">
        <f t="shared" si="49"/>
        <v>387.5</v>
      </c>
      <c r="AA410" s="65">
        <v>2018</v>
      </c>
      <c r="AB410" s="9"/>
      <c r="AC410" s="111"/>
      <c r="AD410" s="111"/>
    </row>
    <row r="411" spans="1:30" ht="46.15" hidden="1" customHeight="1" x14ac:dyDescent="0.25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85" t="s">
        <v>279</v>
      </c>
      <c r="S411" s="93" t="s">
        <v>193</v>
      </c>
      <c r="T411" s="3">
        <v>600</v>
      </c>
      <c r="U411" s="3">
        <v>0</v>
      </c>
      <c r="V411" s="3">
        <v>0</v>
      </c>
      <c r="W411" s="3">
        <v>0</v>
      </c>
      <c r="X411" s="3">
        <v>0</v>
      </c>
      <c r="Y411" s="3">
        <v>0</v>
      </c>
      <c r="Z411" s="6">
        <f t="shared" si="49"/>
        <v>600</v>
      </c>
      <c r="AA411" s="44">
        <v>2018</v>
      </c>
      <c r="AB411" s="9"/>
      <c r="AC411" s="111"/>
      <c r="AD411" s="111"/>
    </row>
    <row r="412" spans="1:30" ht="15.6" hidden="1" customHeight="1" x14ac:dyDescent="0.25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164" t="s">
        <v>280</v>
      </c>
      <c r="S412" s="70" t="s">
        <v>0</v>
      </c>
      <c r="T412" s="1">
        <f>SUM(T413:T416)</f>
        <v>293</v>
      </c>
      <c r="U412" s="1">
        <v>0</v>
      </c>
      <c r="V412" s="1">
        <v>0</v>
      </c>
      <c r="W412" s="1">
        <v>0</v>
      </c>
      <c r="X412" s="1">
        <v>0</v>
      </c>
      <c r="Y412" s="1">
        <v>0</v>
      </c>
      <c r="Z412" s="66">
        <f t="shared" si="49"/>
        <v>293</v>
      </c>
      <c r="AA412" s="65">
        <v>2018</v>
      </c>
      <c r="AB412" s="9"/>
      <c r="AC412" s="111"/>
      <c r="AD412" s="111"/>
    </row>
    <row r="413" spans="1:30" ht="15.6" hidden="1" customHeight="1" x14ac:dyDescent="0.25">
      <c r="A413" s="60" t="s">
        <v>19</v>
      </c>
      <c r="B413" s="60" t="s">
        <v>19</v>
      </c>
      <c r="C413" s="60" t="s">
        <v>26</v>
      </c>
      <c r="D413" s="60" t="s">
        <v>19</v>
      </c>
      <c r="E413" s="60" t="s">
        <v>22</v>
      </c>
      <c r="F413" s="60" t="s">
        <v>19</v>
      </c>
      <c r="G413" s="60" t="s">
        <v>23</v>
      </c>
      <c r="H413" s="60" t="s">
        <v>20</v>
      </c>
      <c r="I413" s="60" t="s">
        <v>25</v>
      </c>
      <c r="J413" s="60" t="s">
        <v>19</v>
      </c>
      <c r="K413" s="60" t="s">
        <v>19</v>
      </c>
      <c r="L413" s="60" t="s">
        <v>21</v>
      </c>
      <c r="M413" s="60" t="s">
        <v>20</v>
      </c>
      <c r="N413" s="60" t="s">
        <v>19</v>
      </c>
      <c r="O413" s="60" t="s">
        <v>25</v>
      </c>
      <c r="P413" s="60" t="s">
        <v>23</v>
      </c>
      <c r="Q413" s="60" t="s">
        <v>46</v>
      </c>
      <c r="R413" s="165"/>
      <c r="S413" s="70" t="s">
        <v>0</v>
      </c>
      <c r="T413" s="1">
        <v>117.2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66">
        <f t="shared" si="49"/>
        <v>117.2</v>
      </c>
      <c r="AA413" s="65">
        <v>2018</v>
      </c>
      <c r="AB413" s="9"/>
      <c r="AC413" s="111"/>
      <c r="AD413" s="111"/>
    </row>
    <row r="414" spans="1:30" ht="15.6" hidden="1" customHeight="1" x14ac:dyDescent="0.25">
      <c r="A414" s="60" t="s">
        <v>19</v>
      </c>
      <c r="B414" s="60" t="s">
        <v>19</v>
      </c>
      <c r="C414" s="60" t="s">
        <v>26</v>
      </c>
      <c r="D414" s="60" t="s">
        <v>19</v>
      </c>
      <c r="E414" s="60" t="s">
        <v>22</v>
      </c>
      <c r="F414" s="60" t="s">
        <v>19</v>
      </c>
      <c r="G414" s="60" t="s">
        <v>23</v>
      </c>
      <c r="H414" s="60" t="s">
        <v>20</v>
      </c>
      <c r="I414" s="60" t="s">
        <v>25</v>
      </c>
      <c r="J414" s="60" t="s">
        <v>19</v>
      </c>
      <c r="K414" s="60" t="s">
        <v>19</v>
      </c>
      <c r="L414" s="60" t="s">
        <v>21</v>
      </c>
      <c r="M414" s="60" t="s">
        <v>38</v>
      </c>
      <c r="N414" s="60" t="s">
        <v>19</v>
      </c>
      <c r="O414" s="60" t="s">
        <v>25</v>
      </c>
      <c r="P414" s="60" t="s">
        <v>23</v>
      </c>
      <c r="Q414" s="60" t="s">
        <v>47</v>
      </c>
      <c r="R414" s="165"/>
      <c r="S414" s="70" t="s">
        <v>0</v>
      </c>
      <c r="T414" s="1">
        <v>22.6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66">
        <f t="shared" si="49"/>
        <v>22.6</v>
      </c>
      <c r="AA414" s="65">
        <v>2018</v>
      </c>
      <c r="AB414" s="9"/>
      <c r="AC414" s="111"/>
      <c r="AD414" s="111"/>
    </row>
    <row r="415" spans="1:30" ht="15.6" hidden="1" customHeight="1" x14ac:dyDescent="0.25">
      <c r="A415" s="60" t="s">
        <v>19</v>
      </c>
      <c r="B415" s="60" t="s">
        <v>19</v>
      </c>
      <c r="C415" s="60" t="s">
        <v>26</v>
      </c>
      <c r="D415" s="60" t="s">
        <v>19</v>
      </c>
      <c r="E415" s="60" t="s">
        <v>22</v>
      </c>
      <c r="F415" s="60" t="s">
        <v>19</v>
      </c>
      <c r="G415" s="60" t="s">
        <v>23</v>
      </c>
      <c r="H415" s="60" t="s">
        <v>20</v>
      </c>
      <c r="I415" s="60" t="s">
        <v>25</v>
      </c>
      <c r="J415" s="60" t="s">
        <v>19</v>
      </c>
      <c r="K415" s="60" t="s">
        <v>19</v>
      </c>
      <c r="L415" s="60" t="s">
        <v>21</v>
      </c>
      <c r="M415" s="60" t="s">
        <v>38</v>
      </c>
      <c r="N415" s="60" t="s">
        <v>19</v>
      </c>
      <c r="O415" s="60" t="s">
        <v>25</v>
      </c>
      <c r="P415" s="60" t="s">
        <v>23</v>
      </c>
      <c r="Q415" s="60" t="s">
        <v>47</v>
      </c>
      <c r="R415" s="165"/>
      <c r="S415" s="70" t="s">
        <v>0</v>
      </c>
      <c r="T415" s="1">
        <v>61.5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66">
        <f t="shared" si="49"/>
        <v>61.5</v>
      </c>
      <c r="AA415" s="65">
        <v>2018</v>
      </c>
      <c r="AB415" s="9"/>
      <c r="AC415" s="111"/>
      <c r="AD415" s="111"/>
    </row>
    <row r="416" spans="1:30" ht="15.6" hidden="1" customHeight="1" x14ac:dyDescent="0.25">
      <c r="A416" s="60" t="s">
        <v>19</v>
      </c>
      <c r="B416" s="60" t="s">
        <v>19</v>
      </c>
      <c r="C416" s="60" t="s">
        <v>26</v>
      </c>
      <c r="D416" s="60" t="s">
        <v>19</v>
      </c>
      <c r="E416" s="60" t="s">
        <v>22</v>
      </c>
      <c r="F416" s="60" t="s">
        <v>19</v>
      </c>
      <c r="G416" s="60" t="s">
        <v>23</v>
      </c>
      <c r="H416" s="60" t="s">
        <v>20</v>
      </c>
      <c r="I416" s="60" t="s">
        <v>25</v>
      </c>
      <c r="J416" s="60" t="s">
        <v>19</v>
      </c>
      <c r="K416" s="60" t="s">
        <v>19</v>
      </c>
      <c r="L416" s="60" t="s">
        <v>21</v>
      </c>
      <c r="M416" s="60" t="s">
        <v>38</v>
      </c>
      <c r="N416" s="60" t="s">
        <v>19</v>
      </c>
      <c r="O416" s="60" t="s">
        <v>25</v>
      </c>
      <c r="P416" s="60" t="s">
        <v>23</v>
      </c>
      <c r="Q416" s="60" t="s">
        <v>40</v>
      </c>
      <c r="R416" s="166"/>
      <c r="S416" s="70" t="s">
        <v>0</v>
      </c>
      <c r="T416" s="1">
        <v>91.7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66">
        <f t="shared" si="49"/>
        <v>91.7</v>
      </c>
      <c r="AA416" s="65">
        <v>2018</v>
      </c>
      <c r="AB416" s="9"/>
      <c r="AC416" s="111"/>
      <c r="AD416" s="111"/>
    </row>
    <row r="417" spans="1:30" ht="31.15" hidden="1" customHeight="1" x14ac:dyDescent="0.25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87" t="s">
        <v>281</v>
      </c>
      <c r="S417" s="93" t="s">
        <v>194</v>
      </c>
      <c r="T417" s="3">
        <v>126</v>
      </c>
      <c r="U417" s="3">
        <v>0</v>
      </c>
      <c r="V417" s="3">
        <v>0</v>
      </c>
      <c r="W417" s="3">
        <v>0</v>
      </c>
      <c r="X417" s="3">
        <v>0</v>
      </c>
      <c r="Y417" s="3">
        <v>0</v>
      </c>
      <c r="Z417" s="6">
        <f t="shared" si="49"/>
        <v>126</v>
      </c>
      <c r="AA417" s="44">
        <v>2018</v>
      </c>
      <c r="AB417" s="9"/>
      <c r="AC417" s="111"/>
      <c r="AD417" s="111"/>
    </row>
    <row r="418" spans="1:30" ht="15.6" hidden="1" customHeight="1" x14ac:dyDescent="0.25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164" t="s">
        <v>282</v>
      </c>
      <c r="S418" s="70" t="s">
        <v>0</v>
      </c>
      <c r="T418" s="1">
        <f>SUM(T419:T422)</f>
        <v>470.59999999999997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66">
        <f t="shared" si="49"/>
        <v>470.59999999999997</v>
      </c>
      <c r="AA418" s="65">
        <v>2018</v>
      </c>
      <c r="AB418" s="9"/>
      <c r="AC418" s="111"/>
      <c r="AD418" s="111"/>
    </row>
    <row r="419" spans="1:30" ht="15.6" hidden="1" customHeight="1" x14ac:dyDescent="0.25">
      <c r="A419" s="60" t="s">
        <v>19</v>
      </c>
      <c r="B419" s="60" t="s">
        <v>19</v>
      </c>
      <c r="C419" s="60" t="s">
        <v>26</v>
      </c>
      <c r="D419" s="60" t="s">
        <v>19</v>
      </c>
      <c r="E419" s="60" t="s">
        <v>22</v>
      </c>
      <c r="F419" s="60" t="s">
        <v>19</v>
      </c>
      <c r="G419" s="60" t="s">
        <v>23</v>
      </c>
      <c r="H419" s="60" t="s">
        <v>20</v>
      </c>
      <c r="I419" s="60" t="s">
        <v>25</v>
      </c>
      <c r="J419" s="60" t="s">
        <v>19</v>
      </c>
      <c r="K419" s="60" t="s">
        <v>19</v>
      </c>
      <c r="L419" s="60" t="s">
        <v>21</v>
      </c>
      <c r="M419" s="60" t="s">
        <v>20</v>
      </c>
      <c r="N419" s="60" t="s">
        <v>19</v>
      </c>
      <c r="O419" s="60" t="s">
        <v>25</v>
      </c>
      <c r="P419" s="60" t="s">
        <v>23</v>
      </c>
      <c r="Q419" s="60" t="s">
        <v>46</v>
      </c>
      <c r="R419" s="165"/>
      <c r="S419" s="70" t="s">
        <v>0</v>
      </c>
      <c r="T419" s="1">
        <v>188.2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66">
        <f t="shared" si="49"/>
        <v>188.2</v>
      </c>
      <c r="AA419" s="65">
        <v>2018</v>
      </c>
      <c r="AB419" s="9"/>
      <c r="AC419" s="111"/>
      <c r="AD419" s="111"/>
    </row>
    <row r="420" spans="1:30" ht="15.6" hidden="1" customHeight="1" x14ac:dyDescent="0.25">
      <c r="A420" s="60" t="s">
        <v>19</v>
      </c>
      <c r="B420" s="60" t="s">
        <v>19</v>
      </c>
      <c r="C420" s="60" t="s">
        <v>26</v>
      </c>
      <c r="D420" s="60" t="s">
        <v>19</v>
      </c>
      <c r="E420" s="60" t="s">
        <v>22</v>
      </c>
      <c r="F420" s="60" t="s">
        <v>19</v>
      </c>
      <c r="G420" s="60" t="s">
        <v>23</v>
      </c>
      <c r="H420" s="60" t="s">
        <v>20</v>
      </c>
      <c r="I420" s="60" t="s">
        <v>25</v>
      </c>
      <c r="J420" s="60" t="s">
        <v>19</v>
      </c>
      <c r="K420" s="60" t="s">
        <v>19</v>
      </c>
      <c r="L420" s="60" t="s">
        <v>21</v>
      </c>
      <c r="M420" s="60" t="s">
        <v>38</v>
      </c>
      <c r="N420" s="60" t="s">
        <v>19</v>
      </c>
      <c r="O420" s="60" t="s">
        <v>25</v>
      </c>
      <c r="P420" s="60" t="s">
        <v>23</v>
      </c>
      <c r="Q420" s="60" t="s">
        <v>47</v>
      </c>
      <c r="R420" s="165"/>
      <c r="S420" s="70" t="s">
        <v>0</v>
      </c>
      <c r="T420" s="1">
        <v>35.1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66">
        <f t="shared" si="49"/>
        <v>35.1</v>
      </c>
      <c r="AA420" s="65">
        <v>2018</v>
      </c>
      <c r="AB420" s="9"/>
      <c r="AC420" s="111"/>
      <c r="AD420" s="111"/>
    </row>
    <row r="421" spans="1:30" ht="15.6" hidden="1" customHeight="1" x14ac:dyDescent="0.25">
      <c r="A421" s="60" t="s">
        <v>19</v>
      </c>
      <c r="B421" s="60" t="s">
        <v>19</v>
      </c>
      <c r="C421" s="60" t="s">
        <v>26</v>
      </c>
      <c r="D421" s="60" t="s">
        <v>19</v>
      </c>
      <c r="E421" s="60" t="s">
        <v>22</v>
      </c>
      <c r="F421" s="60" t="s">
        <v>19</v>
      </c>
      <c r="G421" s="60" t="s">
        <v>23</v>
      </c>
      <c r="H421" s="60" t="s">
        <v>20</v>
      </c>
      <c r="I421" s="60" t="s">
        <v>25</v>
      </c>
      <c r="J421" s="60" t="s">
        <v>19</v>
      </c>
      <c r="K421" s="60" t="s">
        <v>19</v>
      </c>
      <c r="L421" s="60" t="s">
        <v>21</v>
      </c>
      <c r="M421" s="60" t="s">
        <v>38</v>
      </c>
      <c r="N421" s="60" t="s">
        <v>19</v>
      </c>
      <c r="O421" s="60" t="s">
        <v>25</v>
      </c>
      <c r="P421" s="60" t="s">
        <v>23</v>
      </c>
      <c r="Q421" s="60" t="s">
        <v>47</v>
      </c>
      <c r="R421" s="165"/>
      <c r="S421" s="70" t="s">
        <v>0</v>
      </c>
      <c r="T421" s="1">
        <v>98.8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66">
        <f t="shared" si="49"/>
        <v>98.8</v>
      </c>
      <c r="AA421" s="65">
        <v>2018</v>
      </c>
      <c r="AB421" s="9"/>
      <c r="AC421" s="111"/>
      <c r="AD421" s="111"/>
    </row>
    <row r="422" spans="1:30" ht="15.6" hidden="1" customHeight="1" x14ac:dyDescent="0.25">
      <c r="A422" s="60" t="s">
        <v>19</v>
      </c>
      <c r="B422" s="60" t="s">
        <v>19</v>
      </c>
      <c r="C422" s="60" t="s">
        <v>26</v>
      </c>
      <c r="D422" s="60" t="s">
        <v>19</v>
      </c>
      <c r="E422" s="60" t="s">
        <v>22</v>
      </c>
      <c r="F422" s="60" t="s">
        <v>19</v>
      </c>
      <c r="G422" s="60" t="s">
        <v>23</v>
      </c>
      <c r="H422" s="60" t="s">
        <v>20</v>
      </c>
      <c r="I422" s="60" t="s">
        <v>25</v>
      </c>
      <c r="J422" s="60" t="s">
        <v>19</v>
      </c>
      <c r="K422" s="60" t="s">
        <v>19</v>
      </c>
      <c r="L422" s="60" t="s">
        <v>21</v>
      </c>
      <c r="M422" s="60" t="s">
        <v>38</v>
      </c>
      <c r="N422" s="60" t="s">
        <v>19</v>
      </c>
      <c r="O422" s="60" t="s">
        <v>25</v>
      </c>
      <c r="P422" s="60" t="s">
        <v>23</v>
      </c>
      <c r="Q422" s="60" t="s">
        <v>40</v>
      </c>
      <c r="R422" s="166"/>
      <c r="S422" s="70" t="s">
        <v>0</v>
      </c>
      <c r="T422" s="1">
        <v>148.5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66">
        <f t="shared" si="49"/>
        <v>148.5</v>
      </c>
      <c r="AA422" s="65">
        <v>2018</v>
      </c>
      <c r="AB422" s="9"/>
      <c r="AC422" s="111"/>
      <c r="AD422" s="111"/>
    </row>
    <row r="423" spans="1:30" ht="31.15" hidden="1" customHeight="1" x14ac:dyDescent="0.25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87" t="s">
        <v>283</v>
      </c>
      <c r="S423" s="93" t="s">
        <v>193</v>
      </c>
      <c r="T423" s="3">
        <v>131</v>
      </c>
      <c r="U423" s="3">
        <v>0</v>
      </c>
      <c r="V423" s="3">
        <v>0</v>
      </c>
      <c r="W423" s="3">
        <v>0</v>
      </c>
      <c r="X423" s="3">
        <v>0</v>
      </c>
      <c r="Y423" s="3">
        <v>0</v>
      </c>
      <c r="Z423" s="6">
        <f t="shared" si="49"/>
        <v>131</v>
      </c>
      <c r="AA423" s="44">
        <v>2018</v>
      </c>
      <c r="AB423" s="9"/>
      <c r="AC423" s="111"/>
      <c r="AD423" s="111"/>
    </row>
    <row r="424" spans="1:30" ht="15.6" hidden="1" customHeight="1" x14ac:dyDescent="0.25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164" t="s">
        <v>284</v>
      </c>
      <c r="S424" s="70" t="s">
        <v>0</v>
      </c>
      <c r="T424" s="1">
        <f>SUM(T425:T428)</f>
        <v>879.8</v>
      </c>
      <c r="U424" s="1">
        <v>0</v>
      </c>
      <c r="V424" s="1">
        <v>0</v>
      </c>
      <c r="W424" s="1">
        <v>0</v>
      </c>
      <c r="X424" s="1">
        <v>0</v>
      </c>
      <c r="Y424" s="1">
        <v>0</v>
      </c>
      <c r="Z424" s="66">
        <f t="shared" si="49"/>
        <v>879.8</v>
      </c>
      <c r="AA424" s="65">
        <v>2018</v>
      </c>
      <c r="AB424" s="9"/>
      <c r="AC424" s="111"/>
      <c r="AD424" s="111"/>
    </row>
    <row r="425" spans="1:30" ht="15.6" hidden="1" customHeight="1" x14ac:dyDescent="0.25">
      <c r="A425" s="60" t="s">
        <v>19</v>
      </c>
      <c r="B425" s="60" t="s">
        <v>19</v>
      </c>
      <c r="C425" s="60" t="s">
        <v>26</v>
      </c>
      <c r="D425" s="60" t="s">
        <v>19</v>
      </c>
      <c r="E425" s="60" t="s">
        <v>22</v>
      </c>
      <c r="F425" s="60" t="s">
        <v>19</v>
      </c>
      <c r="G425" s="60" t="s">
        <v>23</v>
      </c>
      <c r="H425" s="60" t="s">
        <v>20</v>
      </c>
      <c r="I425" s="60" t="s">
        <v>25</v>
      </c>
      <c r="J425" s="60" t="s">
        <v>19</v>
      </c>
      <c r="K425" s="60" t="s">
        <v>19</v>
      </c>
      <c r="L425" s="60" t="s">
        <v>21</v>
      </c>
      <c r="M425" s="60" t="s">
        <v>20</v>
      </c>
      <c r="N425" s="60" t="s">
        <v>19</v>
      </c>
      <c r="O425" s="60" t="s">
        <v>25</v>
      </c>
      <c r="P425" s="60" t="s">
        <v>23</v>
      </c>
      <c r="Q425" s="60" t="s">
        <v>46</v>
      </c>
      <c r="R425" s="165"/>
      <c r="S425" s="70" t="s">
        <v>0</v>
      </c>
      <c r="T425" s="1">
        <v>350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66">
        <f t="shared" si="49"/>
        <v>350</v>
      </c>
      <c r="AA425" s="65">
        <v>2018</v>
      </c>
      <c r="AB425" s="9"/>
      <c r="AC425" s="111"/>
      <c r="AD425" s="111"/>
    </row>
    <row r="426" spans="1:30" ht="15.6" hidden="1" customHeight="1" x14ac:dyDescent="0.25">
      <c r="A426" s="60" t="s">
        <v>19</v>
      </c>
      <c r="B426" s="60" t="s">
        <v>19</v>
      </c>
      <c r="C426" s="60" t="s">
        <v>26</v>
      </c>
      <c r="D426" s="60" t="s">
        <v>19</v>
      </c>
      <c r="E426" s="60" t="s">
        <v>22</v>
      </c>
      <c r="F426" s="60" t="s">
        <v>19</v>
      </c>
      <c r="G426" s="60" t="s">
        <v>23</v>
      </c>
      <c r="H426" s="60" t="s">
        <v>20</v>
      </c>
      <c r="I426" s="60" t="s">
        <v>25</v>
      </c>
      <c r="J426" s="60" t="s">
        <v>19</v>
      </c>
      <c r="K426" s="60" t="s">
        <v>19</v>
      </c>
      <c r="L426" s="60" t="s">
        <v>21</v>
      </c>
      <c r="M426" s="60" t="s">
        <v>38</v>
      </c>
      <c r="N426" s="60" t="s">
        <v>19</v>
      </c>
      <c r="O426" s="60" t="s">
        <v>25</v>
      </c>
      <c r="P426" s="60" t="s">
        <v>23</v>
      </c>
      <c r="Q426" s="60" t="s">
        <v>47</v>
      </c>
      <c r="R426" s="165"/>
      <c r="S426" s="70" t="s">
        <v>0</v>
      </c>
      <c r="T426" s="1">
        <v>10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66">
        <f t="shared" si="49"/>
        <v>10</v>
      </c>
      <c r="AA426" s="65">
        <v>2018</v>
      </c>
      <c r="AB426" s="9"/>
      <c r="AC426" s="111"/>
      <c r="AD426" s="111"/>
    </row>
    <row r="427" spans="1:30" ht="15.6" hidden="1" customHeight="1" x14ac:dyDescent="0.25">
      <c r="A427" s="60" t="s">
        <v>19</v>
      </c>
      <c r="B427" s="60" t="s">
        <v>19</v>
      </c>
      <c r="C427" s="60" t="s">
        <v>26</v>
      </c>
      <c r="D427" s="60" t="s">
        <v>19</v>
      </c>
      <c r="E427" s="60" t="s">
        <v>22</v>
      </c>
      <c r="F427" s="60" t="s">
        <v>19</v>
      </c>
      <c r="G427" s="60" t="s">
        <v>23</v>
      </c>
      <c r="H427" s="60" t="s">
        <v>20</v>
      </c>
      <c r="I427" s="60" t="s">
        <v>25</v>
      </c>
      <c r="J427" s="60" t="s">
        <v>19</v>
      </c>
      <c r="K427" s="60" t="s">
        <v>19</v>
      </c>
      <c r="L427" s="60" t="s">
        <v>21</v>
      </c>
      <c r="M427" s="60" t="s">
        <v>38</v>
      </c>
      <c r="N427" s="60" t="s">
        <v>19</v>
      </c>
      <c r="O427" s="60" t="s">
        <v>25</v>
      </c>
      <c r="P427" s="60" t="s">
        <v>23</v>
      </c>
      <c r="Q427" s="60" t="s">
        <v>47</v>
      </c>
      <c r="R427" s="165"/>
      <c r="S427" s="70" t="s">
        <v>0</v>
      </c>
      <c r="T427" s="1">
        <v>141.69999999999999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66">
        <f t="shared" si="49"/>
        <v>141.69999999999999</v>
      </c>
      <c r="AA427" s="65">
        <v>2018</v>
      </c>
      <c r="AB427" s="9"/>
      <c r="AC427" s="111"/>
      <c r="AD427" s="111"/>
    </row>
    <row r="428" spans="1:30" ht="15.6" hidden="1" customHeight="1" x14ac:dyDescent="0.25">
      <c r="A428" s="60" t="s">
        <v>19</v>
      </c>
      <c r="B428" s="60" t="s">
        <v>19</v>
      </c>
      <c r="C428" s="60" t="s">
        <v>26</v>
      </c>
      <c r="D428" s="60" t="s">
        <v>19</v>
      </c>
      <c r="E428" s="60" t="s">
        <v>22</v>
      </c>
      <c r="F428" s="60" t="s">
        <v>19</v>
      </c>
      <c r="G428" s="60" t="s">
        <v>23</v>
      </c>
      <c r="H428" s="60" t="s">
        <v>20</v>
      </c>
      <c r="I428" s="60" t="s">
        <v>25</v>
      </c>
      <c r="J428" s="60" t="s">
        <v>19</v>
      </c>
      <c r="K428" s="60" t="s">
        <v>19</v>
      </c>
      <c r="L428" s="60" t="s">
        <v>21</v>
      </c>
      <c r="M428" s="60" t="s">
        <v>38</v>
      </c>
      <c r="N428" s="60" t="s">
        <v>19</v>
      </c>
      <c r="O428" s="60" t="s">
        <v>25</v>
      </c>
      <c r="P428" s="60" t="s">
        <v>23</v>
      </c>
      <c r="Q428" s="60" t="s">
        <v>40</v>
      </c>
      <c r="R428" s="166"/>
      <c r="S428" s="70" t="s">
        <v>0</v>
      </c>
      <c r="T428" s="1">
        <v>378.1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66">
        <f t="shared" si="49"/>
        <v>378.1</v>
      </c>
      <c r="AA428" s="65">
        <v>2018</v>
      </c>
      <c r="AB428" s="9"/>
      <c r="AC428" s="111"/>
      <c r="AD428" s="111"/>
    </row>
    <row r="429" spans="1:30" ht="27.6" hidden="1" customHeight="1" x14ac:dyDescent="0.25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99" t="s">
        <v>285</v>
      </c>
      <c r="S429" s="98" t="s">
        <v>193</v>
      </c>
      <c r="T429" s="3">
        <v>500</v>
      </c>
      <c r="U429" s="3">
        <v>0</v>
      </c>
      <c r="V429" s="3">
        <v>0</v>
      </c>
      <c r="W429" s="3">
        <v>0</v>
      </c>
      <c r="X429" s="3">
        <v>0</v>
      </c>
      <c r="Y429" s="3">
        <v>0</v>
      </c>
      <c r="Z429" s="6">
        <f t="shared" si="49"/>
        <v>500</v>
      </c>
      <c r="AA429" s="44">
        <v>2018</v>
      </c>
      <c r="AB429" s="9"/>
      <c r="AC429" s="111"/>
      <c r="AD429" s="111"/>
    </row>
    <row r="430" spans="1:30" ht="17.25" hidden="1" customHeight="1" x14ac:dyDescent="0.25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164" t="s">
        <v>286</v>
      </c>
      <c r="S430" s="70" t="s">
        <v>0</v>
      </c>
      <c r="T430" s="1">
        <f>SUM(T431:T434)</f>
        <v>811.21499999999992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66">
        <f t="shared" si="49"/>
        <v>811.21499999999992</v>
      </c>
      <c r="AA430" s="65">
        <v>2018</v>
      </c>
      <c r="AB430" s="9"/>
      <c r="AC430" s="111"/>
      <c r="AD430" s="111"/>
    </row>
    <row r="431" spans="1:30" ht="15.6" hidden="1" customHeight="1" x14ac:dyDescent="0.25">
      <c r="A431" s="60" t="s">
        <v>19</v>
      </c>
      <c r="B431" s="60" t="s">
        <v>19</v>
      </c>
      <c r="C431" s="60" t="s">
        <v>26</v>
      </c>
      <c r="D431" s="60" t="s">
        <v>19</v>
      </c>
      <c r="E431" s="60" t="s">
        <v>22</v>
      </c>
      <c r="F431" s="60" t="s">
        <v>19</v>
      </c>
      <c r="G431" s="60" t="s">
        <v>23</v>
      </c>
      <c r="H431" s="60" t="s">
        <v>20</v>
      </c>
      <c r="I431" s="60" t="s">
        <v>25</v>
      </c>
      <c r="J431" s="60" t="s">
        <v>19</v>
      </c>
      <c r="K431" s="60" t="s">
        <v>19</v>
      </c>
      <c r="L431" s="60" t="s">
        <v>21</v>
      </c>
      <c r="M431" s="60" t="s">
        <v>20</v>
      </c>
      <c r="N431" s="60" t="s">
        <v>19</v>
      </c>
      <c r="O431" s="60" t="s">
        <v>25</v>
      </c>
      <c r="P431" s="60" t="s">
        <v>23</v>
      </c>
      <c r="Q431" s="60" t="s">
        <v>46</v>
      </c>
      <c r="R431" s="165"/>
      <c r="S431" s="70" t="s">
        <v>0</v>
      </c>
      <c r="T431" s="1">
        <v>324.51499999999999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66">
        <f t="shared" si="49"/>
        <v>324.51499999999999</v>
      </c>
      <c r="AA431" s="65">
        <v>2018</v>
      </c>
      <c r="AB431" s="9"/>
      <c r="AC431" s="111"/>
      <c r="AD431" s="111"/>
    </row>
    <row r="432" spans="1:30" ht="15.6" hidden="1" customHeight="1" x14ac:dyDescent="0.25">
      <c r="A432" s="60" t="s">
        <v>19</v>
      </c>
      <c r="B432" s="60" t="s">
        <v>19</v>
      </c>
      <c r="C432" s="60" t="s">
        <v>26</v>
      </c>
      <c r="D432" s="60" t="s">
        <v>19</v>
      </c>
      <c r="E432" s="60" t="s">
        <v>22</v>
      </c>
      <c r="F432" s="60" t="s">
        <v>19</v>
      </c>
      <c r="G432" s="60" t="s">
        <v>23</v>
      </c>
      <c r="H432" s="60" t="s">
        <v>20</v>
      </c>
      <c r="I432" s="60" t="s">
        <v>25</v>
      </c>
      <c r="J432" s="60" t="s">
        <v>19</v>
      </c>
      <c r="K432" s="60" t="s">
        <v>19</v>
      </c>
      <c r="L432" s="60" t="s">
        <v>21</v>
      </c>
      <c r="M432" s="60" t="s">
        <v>38</v>
      </c>
      <c r="N432" s="60" t="s">
        <v>19</v>
      </c>
      <c r="O432" s="60" t="s">
        <v>25</v>
      </c>
      <c r="P432" s="60" t="s">
        <v>23</v>
      </c>
      <c r="Q432" s="60" t="s">
        <v>47</v>
      </c>
      <c r="R432" s="165"/>
      <c r="S432" s="70" t="s">
        <v>0</v>
      </c>
      <c r="T432" s="1">
        <v>15</v>
      </c>
      <c r="U432" s="1">
        <v>0</v>
      </c>
      <c r="V432" s="1">
        <v>0</v>
      </c>
      <c r="W432" s="1">
        <v>0</v>
      </c>
      <c r="X432" s="1">
        <v>0</v>
      </c>
      <c r="Y432" s="1">
        <v>0</v>
      </c>
      <c r="Z432" s="66">
        <f t="shared" si="49"/>
        <v>15</v>
      </c>
      <c r="AA432" s="65">
        <v>2018</v>
      </c>
      <c r="AB432" s="9"/>
      <c r="AC432" s="111"/>
      <c r="AD432" s="111"/>
    </row>
    <row r="433" spans="1:30" ht="15.6" hidden="1" customHeight="1" x14ac:dyDescent="0.25">
      <c r="A433" s="60" t="s">
        <v>19</v>
      </c>
      <c r="B433" s="60" t="s">
        <v>19</v>
      </c>
      <c r="C433" s="60" t="s">
        <v>26</v>
      </c>
      <c r="D433" s="60" t="s">
        <v>19</v>
      </c>
      <c r="E433" s="60" t="s">
        <v>22</v>
      </c>
      <c r="F433" s="60" t="s">
        <v>19</v>
      </c>
      <c r="G433" s="60" t="s">
        <v>23</v>
      </c>
      <c r="H433" s="60" t="s">
        <v>20</v>
      </c>
      <c r="I433" s="60" t="s">
        <v>25</v>
      </c>
      <c r="J433" s="60" t="s">
        <v>19</v>
      </c>
      <c r="K433" s="60" t="s">
        <v>19</v>
      </c>
      <c r="L433" s="60" t="s">
        <v>21</v>
      </c>
      <c r="M433" s="60" t="s">
        <v>38</v>
      </c>
      <c r="N433" s="60" t="s">
        <v>19</v>
      </c>
      <c r="O433" s="60" t="s">
        <v>25</v>
      </c>
      <c r="P433" s="60" t="s">
        <v>23</v>
      </c>
      <c r="Q433" s="60" t="s">
        <v>47</v>
      </c>
      <c r="R433" s="165"/>
      <c r="S433" s="70" t="s">
        <v>0</v>
      </c>
      <c r="T433" s="1">
        <v>170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66">
        <f t="shared" si="49"/>
        <v>170</v>
      </c>
      <c r="AA433" s="65">
        <v>2018</v>
      </c>
      <c r="AB433" s="9"/>
      <c r="AC433" s="111"/>
      <c r="AD433" s="111"/>
    </row>
    <row r="434" spans="1:30" ht="15.6" hidden="1" customHeight="1" x14ac:dyDescent="0.25">
      <c r="A434" s="60" t="s">
        <v>19</v>
      </c>
      <c r="B434" s="60" t="s">
        <v>19</v>
      </c>
      <c r="C434" s="60" t="s">
        <v>26</v>
      </c>
      <c r="D434" s="60" t="s">
        <v>19</v>
      </c>
      <c r="E434" s="60" t="s">
        <v>22</v>
      </c>
      <c r="F434" s="60" t="s">
        <v>19</v>
      </c>
      <c r="G434" s="60" t="s">
        <v>23</v>
      </c>
      <c r="H434" s="60" t="s">
        <v>20</v>
      </c>
      <c r="I434" s="60" t="s">
        <v>25</v>
      </c>
      <c r="J434" s="60" t="s">
        <v>19</v>
      </c>
      <c r="K434" s="60" t="s">
        <v>19</v>
      </c>
      <c r="L434" s="60" t="s">
        <v>21</v>
      </c>
      <c r="M434" s="60" t="s">
        <v>38</v>
      </c>
      <c r="N434" s="60" t="s">
        <v>19</v>
      </c>
      <c r="O434" s="60" t="s">
        <v>25</v>
      </c>
      <c r="P434" s="60" t="s">
        <v>23</v>
      </c>
      <c r="Q434" s="60" t="s">
        <v>40</v>
      </c>
      <c r="R434" s="166"/>
      <c r="S434" s="70" t="s">
        <v>0</v>
      </c>
      <c r="T434" s="1">
        <v>301.7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66">
        <f t="shared" si="49"/>
        <v>301.7</v>
      </c>
      <c r="AA434" s="65">
        <v>2018</v>
      </c>
      <c r="AB434" s="9"/>
      <c r="AC434" s="111"/>
      <c r="AD434" s="111"/>
    </row>
    <row r="435" spans="1:30" ht="31.15" hidden="1" customHeight="1" x14ac:dyDescent="0.2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87" t="s">
        <v>287</v>
      </c>
      <c r="S435" s="93" t="s">
        <v>8</v>
      </c>
      <c r="T435" s="47">
        <v>1</v>
      </c>
      <c r="U435" s="47">
        <v>0</v>
      </c>
      <c r="V435" s="47">
        <v>0</v>
      </c>
      <c r="W435" s="47">
        <v>0</v>
      </c>
      <c r="X435" s="47">
        <v>0</v>
      </c>
      <c r="Y435" s="47">
        <v>0</v>
      </c>
      <c r="Z435" s="55">
        <f t="shared" si="49"/>
        <v>1</v>
      </c>
      <c r="AA435" s="44">
        <v>2018</v>
      </c>
      <c r="AB435" s="9"/>
      <c r="AC435" s="111"/>
      <c r="AD435" s="111"/>
    </row>
    <row r="436" spans="1:30" ht="15.6" hidden="1" customHeight="1" x14ac:dyDescent="0.25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164" t="s">
        <v>288</v>
      </c>
      <c r="S436" s="70" t="s">
        <v>0</v>
      </c>
      <c r="T436" s="1">
        <f>SUM(T437:T440)</f>
        <v>1054.8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66">
        <f t="shared" si="49"/>
        <v>1054.8</v>
      </c>
      <c r="AA436" s="65">
        <v>2018</v>
      </c>
      <c r="AB436" s="9"/>
      <c r="AC436" s="111"/>
      <c r="AD436" s="111"/>
    </row>
    <row r="437" spans="1:30" ht="15.6" hidden="1" customHeight="1" x14ac:dyDescent="0.25">
      <c r="A437" s="60" t="s">
        <v>19</v>
      </c>
      <c r="B437" s="60" t="s">
        <v>19</v>
      </c>
      <c r="C437" s="60" t="s">
        <v>26</v>
      </c>
      <c r="D437" s="60" t="s">
        <v>19</v>
      </c>
      <c r="E437" s="60" t="s">
        <v>22</v>
      </c>
      <c r="F437" s="60" t="s">
        <v>19</v>
      </c>
      <c r="G437" s="60" t="s">
        <v>23</v>
      </c>
      <c r="H437" s="60" t="s">
        <v>20</v>
      </c>
      <c r="I437" s="60" t="s">
        <v>25</v>
      </c>
      <c r="J437" s="60" t="s">
        <v>19</v>
      </c>
      <c r="K437" s="60" t="s">
        <v>19</v>
      </c>
      <c r="L437" s="60" t="s">
        <v>21</v>
      </c>
      <c r="M437" s="60" t="s">
        <v>20</v>
      </c>
      <c r="N437" s="60" t="s">
        <v>19</v>
      </c>
      <c r="O437" s="60" t="s">
        <v>25</v>
      </c>
      <c r="P437" s="60" t="s">
        <v>23</v>
      </c>
      <c r="Q437" s="60" t="s">
        <v>46</v>
      </c>
      <c r="R437" s="165"/>
      <c r="S437" s="70" t="s">
        <v>0</v>
      </c>
      <c r="T437" s="1">
        <v>396.1</v>
      </c>
      <c r="U437" s="1">
        <v>0</v>
      </c>
      <c r="V437" s="1">
        <v>0</v>
      </c>
      <c r="W437" s="1">
        <v>0</v>
      </c>
      <c r="X437" s="1">
        <v>0</v>
      </c>
      <c r="Y437" s="1">
        <v>0</v>
      </c>
      <c r="Z437" s="66">
        <f t="shared" si="49"/>
        <v>396.1</v>
      </c>
      <c r="AA437" s="65">
        <v>2018</v>
      </c>
      <c r="AB437" s="9"/>
      <c r="AC437" s="111"/>
      <c r="AD437" s="111"/>
    </row>
    <row r="438" spans="1:30" ht="15.6" hidden="1" customHeight="1" x14ac:dyDescent="0.25">
      <c r="A438" s="60" t="s">
        <v>19</v>
      </c>
      <c r="B438" s="60" t="s">
        <v>19</v>
      </c>
      <c r="C438" s="60" t="s">
        <v>26</v>
      </c>
      <c r="D438" s="60" t="s">
        <v>19</v>
      </c>
      <c r="E438" s="60" t="s">
        <v>22</v>
      </c>
      <c r="F438" s="60" t="s">
        <v>19</v>
      </c>
      <c r="G438" s="60" t="s">
        <v>23</v>
      </c>
      <c r="H438" s="60" t="s">
        <v>20</v>
      </c>
      <c r="I438" s="60" t="s">
        <v>25</v>
      </c>
      <c r="J438" s="60" t="s">
        <v>19</v>
      </c>
      <c r="K438" s="60" t="s">
        <v>19</v>
      </c>
      <c r="L438" s="60" t="s">
        <v>21</v>
      </c>
      <c r="M438" s="60" t="s">
        <v>38</v>
      </c>
      <c r="N438" s="60" t="s">
        <v>19</v>
      </c>
      <c r="O438" s="60" t="s">
        <v>25</v>
      </c>
      <c r="P438" s="60" t="s">
        <v>23</v>
      </c>
      <c r="Q438" s="60" t="s">
        <v>47</v>
      </c>
      <c r="R438" s="165"/>
      <c r="S438" s="70" t="s">
        <v>0</v>
      </c>
      <c r="T438" s="1">
        <v>5</v>
      </c>
      <c r="U438" s="1">
        <v>0</v>
      </c>
      <c r="V438" s="1">
        <v>0</v>
      </c>
      <c r="W438" s="1">
        <v>0</v>
      </c>
      <c r="X438" s="1">
        <v>0</v>
      </c>
      <c r="Y438" s="1">
        <v>0</v>
      </c>
      <c r="Z438" s="66">
        <f t="shared" si="49"/>
        <v>5</v>
      </c>
      <c r="AA438" s="65">
        <v>2018</v>
      </c>
      <c r="AB438" s="9"/>
      <c r="AC438" s="111"/>
      <c r="AD438" s="111"/>
    </row>
    <row r="439" spans="1:30" ht="15.6" hidden="1" customHeight="1" x14ac:dyDescent="0.25">
      <c r="A439" s="60" t="s">
        <v>19</v>
      </c>
      <c r="B439" s="60" t="s">
        <v>19</v>
      </c>
      <c r="C439" s="60" t="s">
        <v>26</v>
      </c>
      <c r="D439" s="60" t="s">
        <v>19</v>
      </c>
      <c r="E439" s="60" t="s">
        <v>22</v>
      </c>
      <c r="F439" s="60" t="s">
        <v>19</v>
      </c>
      <c r="G439" s="60" t="s">
        <v>23</v>
      </c>
      <c r="H439" s="60" t="s">
        <v>20</v>
      </c>
      <c r="I439" s="60" t="s">
        <v>25</v>
      </c>
      <c r="J439" s="60" t="s">
        <v>19</v>
      </c>
      <c r="K439" s="60" t="s">
        <v>19</v>
      </c>
      <c r="L439" s="60" t="s">
        <v>21</v>
      </c>
      <c r="M439" s="60" t="s">
        <v>38</v>
      </c>
      <c r="N439" s="60" t="s">
        <v>19</v>
      </c>
      <c r="O439" s="60" t="s">
        <v>25</v>
      </c>
      <c r="P439" s="60" t="s">
        <v>23</v>
      </c>
      <c r="Q439" s="60" t="s">
        <v>47</v>
      </c>
      <c r="R439" s="165"/>
      <c r="S439" s="70" t="s">
        <v>0</v>
      </c>
      <c r="T439" s="1">
        <v>253.7</v>
      </c>
      <c r="U439" s="1">
        <v>0</v>
      </c>
      <c r="V439" s="1">
        <v>0</v>
      </c>
      <c r="W439" s="1">
        <v>0</v>
      </c>
      <c r="X439" s="1">
        <v>0</v>
      </c>
      <c r="Y439" s="1">
        <v>0</v>
      </c>
      <c r="Z439" s="66">
        <f t="shared" si="49"/>
        <v>253.7</v>
      </c>
      <c r="AA439" s="65">
        <v>2018</v>
      </c>
      <c r="AB439" s="9"/>
      <c r="AC439" s="111"/>
      <c r="AD439" s="111"/>
    </row>
    <row r="440" spans="1:30" ht="15.6" hidden="1" customHeight="1" x14ac:dyDescent="0.25">
      <c r="A440" s="60" t="s">
        <v>19</v>
      </c>
      <c r="B440" s="60" t="s">
        <v>19</v>
      </c>
      <c r="C440" s="60" t="s">
        <v>26</v>
      </c>
      <c r="D440" s="60" t="s">
        <v>19</v>
      </c>
      <c r="E440" s="60" t="s">
        <v>22</v>
      </c>
      <c r="F440" s="60" t="s">
        <v>19</v>
      </c>
      <c r="G440" s="60" t="s">
        <v>23</v>
      </c>
      <c r="H440" s="60" t="s">
        <v>20</v>
      </c>
      <c r="I440" s="60" t="s">
        <v>25</v>
      </c>
      <c r="J440" s="60" t="s">
        <v>19</v>
      </c>
      <c r="K440" s="60" t="s">
        <v>19</v>
      </c>
      <c r="L440" s="60" t="s">
        <v>21</v>
      </c>
      <c r="M440" s="60" t="s">
        <v>38</v>
      </c>
      <c r="N440" s="60" t="s">
        <v>19</v>
      </c>
      <c r="O440" s="60" t="s">
        <v>25</v>
      </c>
      <c r="P440" s="60" t="s">
        <v>23</v>
      </c>
      <c r="Q440" s="60" t="s">
        <v>40</v>
      </c>
      <c r="R440" s="166"/>
      <c r="S440" s="70" t="s">
        <v>0</v>
      </c>
      <c r="T440" s="1">
        <v>400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66">
        <f t="shared" si="49"/>
        <v>400</v>
      </c>
      <c r="AA440" s="65">
        <v>2018</v>
      </c>
      <c r="AB440" s="9"/>
      <c r="AC440" s="111"/>
      <c r="AD440" s="111"/>
    </row>
    <row r="441" spans="1:30" ht="31.15" hidden="1" customHeight="1" x14ac:dyDescent="0.2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87" t="s">
        <v>289</v>
      </c>
      <c r="S441" s="93" t="s">
        <v>8</v>
      </c>
      <c r="T441" s="47">
        <v>1</v>
      </c>
      <c r="U441" s="47">
        <v>0</v>
      </c>
      <c r="V441" s="47">
        <v>0</v>
      </c>
      <c r="W441" s="47">
        <v>0</v>
      </c>
      <c r="X441" s="47">
        <v>0</v>
      </c>
      <c r="Y441" s="47">
        <v>0</v>
      </c>
      <c r="Z441" s="55">
        <f>SUM(T441:Y441)</f>
        <v>1</v>
      </c>
      <c r="AA441" s="44">
        <v>2018</v>
      </c>
      <c r="AB441" s="9"/>
      <c r="AC441" s="111"/>
      <c r="AD441" s="111"/>
    </row>
    <row r="442" spans="1:30" ht="53.45" customHeight="1" x14ac:dyDescent="0.25">
      <c r="A442" s="60" t="s">
        <v>19</v>
      </c>
      <c r="B442" s="60" t="s">
        <v>20</v>
      </c>
      <c r="C442" s="60" t="s">
        <v>21</v>
      </c>
      <c r="D442" s="60" t="s">
        <v>19</v>
      </c>
      <c r="E442" s="60" t="s">
        <v>25</v>
      </c>
      <c r="F442" s="60" t="s">
        <v>19</v>
      </c>
      <c r="G442" s="60" t="s">
        <v>44</v>
      </c>
      <c r="H442" s="60" t="s">
        <v>20</v>
      </c>
      <c r="I442" s="60" t="s">
        <v>25</v>
      </c>
      <c r="J442" s="60" t="s">
        <v>19</v>
      </c>
      <c r="K442" s="60" t="s">
        <v>19</v>
      </c>
      <c r="L442" s="60" t="s">
        <v>21</v>
      </c>
      <c r="M442" s="60" t="s">
        <v>38</v>
      </c>
      <c r="N442" s="60" t="s">
        <v>19</v>
      </c>
      <c r="O442" s="60" t="s">
        <v>25</v>
      </c>
      <c r="P442" s="60" t="s">
        <v>23</v>
      </c>
      <c r="Q442" s="60" t="s">
        <v>40</v>
      </c>
      <c r="R442" s="84" t="s">
        <v>149</v>
      </c>
      <c r="S442" s="62" t="s">
        <v>0</v>
      </c>
      <c r="T442" s="1">
        <f>10000-9745-255</f>
        <v>0</v>
      </c>
      <c r="U442" s="1">
        <v>8228.2999999999993</v>
      </c>
      <c r="V442" s="1">
        <v>8228.2999999999993</v>
      </c>
      <c r="W442" s="1">
        <v>8228.2999999999993</v>
      </c>
      <c r="X442" s="1">
        <v>8228.2999999999993</v>
      </c>
      <c r="Y442" s="1">
        <v>8228.2999999999993</v>
      </c>
      <c r="Z442" s="66">
        <f>T442+U442+V442+W442+X442+Y442</f>
        <v>41141.5</v>
      </c>
      <c r="AA442" s="65">
        <v>2023</v>
      </c>
      <c r="AB442" s="129"/>
      <c r="AC442" s="111"/>
      <c r="AD442" s="111"/>
    </row>
    <row r="443" spans="1:30" ht="64.900000000000006" customHeight="1" x14ac:dyDescent="0.25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85" t="s">
        <v>215</v>
      </c>
      <c r="S443" s="69" t="s">
        <v>56</v>
      </c>
      <c r="T443" s="3">
        <v>0</v>
      </c>
      <c r="U443" s="3">
        <v>7</v>
      </c>
      <c r="V443" s="3">
        <v>7</v>
      </c>
      <c r="W443" s="3">
        <v>7</v>
      </c>
      <c r="X443" s="3">
        <v>7</v>
      </c>
      <c r="Y443" s="3">
        <v>7</v>
      </c>
      <c r="Z443" s="6">
        <f>T443+U443+V443+W443+X443+Y443</f>
        <v>35</v>
      </c>
      <c r="AA443" s="44">
        <v>2023</v>
      </c>
      <c r="AB443" s="139"/>
      <c r="AC443" s="111"/>
      <c r="AD443" s="111"/>
    </row>
    <row r="444" spans="1:30" ht="66" customHeight="1" x14ac:dyDescent="0.25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85" t="s">
        <v>216</v>
      </c>
      <c r="S444" s="69" t="s">
        <v>39</v>
      </c>
      <c r="T444" s="47">
        <v>0</v>
      </c>
      <c r="U444" s="47">
        <v>7</v>
      </c>
      <c r="V444" s="47">
        <v>7</v>
      </c>
      <c r="W444" s="47">
        <v>7</v>
      </c>
      <c r="X444" s="47">
        <v>7</v>
      </c>
      <c r="Y444" s="47">
        <v>7</v>
      </c>
      <c r="Z444" s="55">
        <f>T444+U444+V444+W444+X444+Y444</f>
        <v>35</v>
      </c>
      <c r="AA444" s="44">
        <v>2023</v>
      </c>
      <c r="AB444" s="139"/>
      <c r="AC444" s="111"/>
      <c r="AD444" s="111"/>
    </row>
    <row r="445" spans="1:30" s="57" customFormat="1" ht="78.75" x14ac:dyDescent="0.25">
      <c r="A445" s="60"/>
      <c r="B445" s="60"/>
      <c r="C445" s="60"/>
      <c r="D445" s="60" t="s">
        <v>19</v>
      </c>
      <c r="E445" s="60" t="s">
        <v>22</v>
      </c>
      <c r="F445" s="60" t="s">
        <v>19</v>
      </c>
      <c r="G445" s="60" t="s">
        <v>23</v>
      </c>
      <c r="H445" s="60" t="s">
        <v>20</v>
      </c>
      <c r="I445" s="60" t="s">
        <v>25</v>
      </c>
      <c r="J445" s="60" t="s">
        <v>19</v>
      </c>
      <c r="K445" s="60" t="s">
        <v>294</v>
      </c>
      <c r="L445" s="60" t="s">
        <v>21</v>
      </c>
      <c r="M445" s="60" t="s">
        <v>22</v>
      </c>
      <c r="N445" s="60" t="s">
        <v>22</v>
      </c>
      <c r="O445" s="60" t="s">
        <v>22</v>
      </c>
      <c r="P445" s="60" t="s">
        <v>22</v>
      </c>
      <c r="Q445" s="60" t="s">
        <v>21</v>
      </c>
      <c r="R445" s="148" t="s">
        <v>325</v>
      </c>
      <c r="S445" s="65" t="s">
        <v>0</v>
      </c>
      <c r="T445" s="66">
        <f>T448+T451+T454+T457</f>
        <v>0</v>
      </c>
      <c r="U445" s="66">
        <f t="shared" ref="U445:Y445" si="50">U448+U451+U454+U457</f>
        <v>10762</v>
      </c>
      <c r="V445" s="66">
        <f t="shared" si="50"/>
        <v>10762</v>
      </c>
      <c r="W445" s="66">
        <f t="shared" si="50"/>
        <v>10762</v>
      </c>
      <c r="X445" s="66">
        <f t="shared" si="50"/>
        <v>10762</v>
      </c>
      <c r="Y445" s="66">
        <f t="shared" si="50"/>
        <v>0</v>
      </c>
      <c r="Z445" s="66">
        <f>SUM(T445:Y445)</f>
        <v>43048</v>
      </c>
      <c r="AA445" s="65">
        <v>2022</v>
      </c>
      <c r="AB445" s="34"/>
      <c r="AC445" s="56"/>
    </row>
    <row r="446" spans="1:30" s="57" customFormat="1" ht="47.25" x14ac:dyDescent="0.25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3" t="s">
        <v>266</v>
      </c>
      <c r="S446" s="58" t="s">
        <v>39</v>
      </c>
      <c r="T446" s="47">
        <f>T449+T452+T455+T458</f>
        <v>0</v>
      </c>
      <c r="U446" s="47">
        <f t="shared" ref="U446:Y446" si="51">U449+U452+U455+U458</f>
        <v>33</v>
      </c>
      <c r="V446" s="47">
        <f t="shared" si="51"/>
        <v>30</v>
      </c>
      <c r="W446" s="47">
        <f t="shared" si="51"/>
        <v>30</v>
      </c>
      <c r="X446" s="47">
        <f t="shared" si="51"/>
        <v>30</v>
      </c>
      <c r="Y446" s="47">
        <f t="shared" si="51"/>
        <v>0</v>
      </c>
      <c r="Z446" s="55">
        <f>T446+U446+V446+W446+X446+Y446</f>
        <v>123</v>
      </c>
      <c r="AA446" s="144">
        <v>2022</v>
      </c>
      <c r="AB446" s="34"/>
      <c r="AC446" s="56"/>
    </row>
    <row r="447" spans="1:30" s="8" customFormat="1" ht="47.25" x14ac:dyDescent="0.25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68" t="s">
        <v>267</v>
      </c>
      <c r="S447" s="69" t="s">
        <v>56</v>
      </c>
      <c r="T447" s="69">
        <f>T450+T453+T456+T459</f>
        <v>0</v>
      </c>
      <c r="U447" s="69">
        <f>U450+U453+U456+U459</f>
        <v>58.2</v>
      </c>
      <c r="V447" s="69">
        <f t="shared" ref="V447:Y447" si="52">V450+V453+V456+V459</f>
        <v>58.2</v>
      </c>
      <c r="W447" s="69">
        <f t="shared" si="52"/>
        <v>58.2</v>
      </c>
      <c r="X447" s="69">
        <f t="shared" si="52"/>
        <v>58.2</v>
      </c>
      <c r="Y447" s="69">
        <f t="shared" si="52"/>
        <v>0</v>
      </c>
      <c r="Z447" s="59">
        <f>T447+U447+V447+W447+X447</f>
        <v>232.8</v>
      </c>
      <c r="AA447" s="144">
        <v>2022</v>
      </c>
      <c r="AB447" s="34"/>
      <c r="AC447" s="67"/>
    </row>
    <row r="448" spans="1:30" s="57" customFormat="1" ht="78.75" x14ac:dyDescent="0.25">
      <c r="A448" s="60" t="s">
        <v>19</v>
      </c>
      <c r="B448" s="60" t="s">
        <v>19</v>
      </c>
      <c r="C448" s="60" t="s">
        <v>23</v>
      </c>
      <c r="D448" s="60" t="s">
        <v>19</v>
      </c>
      <c r="E448" s="60" t="s">
        <v>22</v>
      </c>
      <c r="F448" s="60" t="s">
        <v>19</v>
      </c>
      <c r="G448" s="60" t="s">
        <v>23</v>
      </c>
      <c r="H448" s="60" t="s">
        <v>20</v>
      </c>
      <c r="I448" s="60" t="s">
        <v>25</v>
      </c>
      <c r="J448" s="60" t="s">
        <v>19</v>
      </c>
      <c r="K448" s="60" t="s">
        <v>294</v>
      </c>
      <c r="L448" s="60" t="s">
        <v>21</v>
      </c>
      <c r="M448" s="60" t="s">
        <v>22</v>
      </c>
      <c r="N448" s="60" t="s">
        <v>22</v>
      </c>
      <c r="O448" s="60" t="s">
        <v>22</v>
      </c>
      <c r="P448" s="60" t="s">
        <v>22</v>
      </c>
      <c r="Q448" s="60" t="s">
        <v>21</v>
      </c>
      <c r="R448" s="148" t="s">
        <v>325</v>
      </c>
      <c r="S448" s="62" t="s">
        <v>0</v>
      </c>
      <c r="T448" s="1">
        <v>0</v>
      </c>
      <c r="U448" s="1">
        <v>3100.4</v>
      </c>
      <c r="V448" s="1">
        <v>3100.4</v>
      </c>
      <c r="W448" s="1">
        <v>3100.4</v>
      </c>
      <c r="X448" s="1">
        <v>3100.4</v>
      </c>
      <c r="Y448" s="1">
        <v>0</v>
      </c>
      <c r="Z448" s="66">
        <f>SUM(T448:Y448)</f>
        <v>12401.6</v>
      </c>
      <c r="AA448" s="65">
        <v>2022</v>
      </c>
      <c r="AB448" s="34"/>
      <c r="AC448" s="56"/>
    </row>
    <row r="449" spans="1:29" s="57" customFormat="1" ht="47.25" x14ac:dyDescent="0.25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3" t="s">
        <v>142</v>
      </c>
      <c r="S449" s="58" t="s">
        <v>39</v>
      </c>
      <c r="T449" s="47">
        <v>0</v>
      </c>
      <c r="U449" s="47">
        <v>12</v>
      </c>
      <c r="V449" s="47">
        <v>12</v>
      </c>
      <c r="W449" s="47">
        <v>12</v>
      </c>
      <c r="X449" s="47">
        <v>12</v>
      </c>
      <c r="Y449" s="47">
        <v>0</v>
      </c>
      <c r="Z449" s="55">
        <f>SUM(T449:Y449)</f>
        <v>48</v>
      </c>
      <c r="AA449" s="44">
        <v>2022</v>
      </c>
      <c r="AB449" s="34"/>
      <c r="AC449" s="56"/>
    </row>
    <row r="450" spans="1:29" s="57" customFormat="1" ht="47.25" x14ac:dyDescent="0.2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3" t="s">
        <v>143</v>
      </c>
      <c r="S450" s="58" t="s">
        <v>56</v>
      </c>
      <c r="T450" s="47">
        <v>0</v>
      </c>
      <c r="U450" s="47">
        <v>19</v>
      </c>
      <c r="V450" s="47">
        <v>19</v>
      </c>
      <c r="W450" s="47">
        <v>19</v>
      </c>
      <c r="X450" s="47">
        <v>19</v>
      </c>
      <c r="Y450" s="47">
        <v>0</v>
      </c>
      <c r="Z450" s="6">
        <f>T450+U450+V450+W450+X450</f>
        <v>76</v>
      </c>
      <c r="AA450" s="44">
        <v>2022</v>
      </c>
      <c r="AB450" s="34"/>
      <c r="AC450" s="56"/>
    </row>
    <row r="451" spans="1:29" s="57" customFormat="1" ht="78.75" x14ac:dyDescent="0.25">
      <c r="A451" s="60" t="s">
        <v>19</v>
      </c>
      <c r="B451" s="60" t="s">
        <v>19</v>
      </c>
      <c r="C451" s="60" t="s">
        <v>25</v>
      </c>
      <c r="D451" s="60" t="s">
        <v>19</v>
      </c>
      <c r="E451" s="60" t="s">
        <v>22</v>
      </c>
      <c r="F451" s="60" t="s">
        <v>19</v>
      </c>
      <c r="G451" s="60" t="s">
        <v>23</v>
      </c>
      <c r="H451" s="60" t="s">
        <v>20</v>
      </c>
      <c r="I451" s="60" t="s">
        <v>25</v>
      </c>
      <c r="J451" s="60" t="s">
        <v>19</v>
      </c>
      <c r="K451" s="60" t="s">
        <v>294</v>
      </c>
      <c r="L451" s="60" t="s">
        <v>21</v>
      </c>
      <c r="M451" s="60" t="s">
        <v>22</v>
      </c>
      <c r="N451" s="60" t="s">
        <v>22</v>
      </c>
      <c r="O451" s="60" t="s">
        <v>22</v>
      </c>
      <c r="P451" s="60" t="s">
        <v>22</v>
      </c>
      <c r="Q451" s="60" t="s">
        <v>21</v>
      </c>
      <c r="R451" s="148" t="s">
        <v>325</v>
      </c>
      <c r="S451" s="62" t="s">
        <v>0</v>
      </c>
      <c r="T451" s="1">
        <v>0</v>
      </c>
      <c r="U451" s="1">
        <v>2000</v>
      </c>
      <c r="V451" s="1">
        <v>2000</v>
      </c>
      <c r="W451" s="1">
        <v>2000</v>
      </c>
      <c r="X451" s="1">
        <v>2000</v>
      </c>
      <c r="Y451" s="1">
        <v>0</v>
      </c>
      <c r="Z451" s="66">
        <f t="shared" ref="Z451:Z459" si="53">SUM(T451:Y451)</f>
        <v>8000</v>
      </c>
      <c r="AA451" s="65">
        <v>2022</v>
      </c>
      <c r="AB451" s="34"/>
      <c r="AC451" s="56"/>
    </row>
    <row r="452" spans="1:29" s="57" customFormat="1" ht="47.25" x14ac:dyDescent="0.25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3" t="s">
        <v>305</v>
      </c>
      <c r="S452" s="58" t="s">
        <v>39</v>
      </c>
      <c r="T452" s="47">
        <v>0</v>
      </c>
      <c r="U452" s="47">
        <v>9</v>
      </c>
      <c r="V452" s="47">
        <v>9</v>
      </c>
      <c r="W452" s="47">
        <v>9</v>
      </c>
      <c r="X452" s="47">
        <v>9</v>
      </c>
      <c r="Y452" s="47">
        <v>0</v>
      </c>
      <c r="Z452" s="55">
        <f t="shared" si="53"/>
        <v>36</v>
      </c>
      <c r="AA452" s="44">
        <v>2022</v>
      </c>
      <c r="AB452" s="34"/>
      <c r="AC452" s="56"/>
    </row>
    <row r="453" spans="1:29" s="57" customFormat="1" ht="47.25" x14ac:dyDescent="0.25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3" t="s">
        <v>306</v>
      </c>
      <c r="S453" s="58" t="s">
        <v>56</v>
      </c>
      <c r="T453" s="47">
        <v>0</v>
      </c>
      <c r="U453" s="3">
        <v>14.3</v>
      </c>
      <c r="V453" s="3">
        <v>14.3</v>
      </c>
      <c r="W453" s="3">
        <v>14.3</v>
      </c>
      <c r="X453" s="3">
        <v>14.3</v>
      </c>
      <c r="Y453" s="47">
        <v>0</v>
      </c>
      <c r="Z453" s="6">
        <f t="shared" si="53"/>
        <v>57.2</v>
      </c>
      <c r="AA453" s="44">
        <v>2022</v>
      </c>
      <c r="AB453" s="132"/>
      <c r="AC453" s="123"/>
    </row>
    <row r="454" spans="1:29" s="57" customFormat="1" ht="78.75" x14ac:dyDescent="0.25">
      <c r="A454" s="60" t="s">
        <v>19</v>
      </c>
      <c r="B454" s="60" t="s">
        <v>19</v>
      </c>
      <c r="C454" s="60" t="s">
        <v>22</v>
      </c>
      <c r="D454" s="60" t="s">
        <v>19</v>
      </c>
      <c r="E454" s="60" t="s">
        <v>22</v>
      </c>
      <c r="F454" s="60" t="s">
        <v>19</v>
      </c>
      <c r="G454" s="60" t="s">
        <v>23</v>
      </c>
      <c r="H454" s="60" t="s">
        <v>20</v>
      </c>
      <c r="I454" s="60" t="s">
        <v>25</v>
      </c>
      <c r="J454" s="60" t="s">
        <v>19</v>
      </c>
      <c r="K454" s="60" t="s">
        <v>294</v>
      </c>
      <c r="L454" s="60" t="s">
        <v>21</v>
      </c>
      <c r="M454" s="60" t="s">
        <v>22</v>
      </c>
      <c r="N454" s="60" t="s">
        <v>22</v>
      </c>
      <c r="O454" s="60" t="s">
        <v>22</v>
      </c>
      <c r="P454" s="60" t="s">
        <v>22</v>
      </c>
      <c r="Q454" s="60" t="s">
        <v>21</v>
      </c>
      <c r="R454" s="148" t="s">
        <v>316</v>
      </c>
      <c r="S454" s="62" t="s">
        <v>0</v>
      </c>
      <c r="T454" s="1">
        <v>0</v>
      </c>
      <c r="U454" s="1">
        <v>2860.5</v>
      </c>
      <c r="V454" s="1">
        <v>2860.5</v>
      </c>
      <c r="W454" s="1">
        <v>2860.5</v>
      </c>
      <c r="X454" s="1">
        <v>2860.5</v>
      </c>
      <c r="Y454" s="1">
        <v>0</v>
      </c>
      <c r="Z454" s="66">
        <f t="shared" si="53"/>
        <v>11442</v>
      </c>
      <c r="AA454" s="65">
        <v>2022</v>
      </c>
      <c r="AB454" s="34"/>
      <c r="AC454" s="56"/>
    </row>
    <row r="455" spans="1:29" s="57" customFormat="1" ht="47.25" x14ac:dyDescent="0.25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3" t="s">
        <v>307</v>
      </c>
      <c r="S455" s="58" t="s">
        <v>39</v>
      </c>
      <c r="T455" s="47">
        <v>0</v>
      </c>
      <c r="U455" s="47">
        <v>5</v>
      </c>
      <c r="V455" s="47">
        <v>2</v>
      </c>
      <c r="W455" s="47">
        <v>2</v>
      </c>
      <c r="X455" s="47">
        <v>2</v>
      </c>
      <c r="Y455" s="47">
        <v>0</v>
      </c>
      <c r="Z455" s="55">
        <f t="shared" si="53"/>
        <v>11</v>
      </c>
      <c r="AA455" s="44">
        <v>2022</v>
      </c>
      <c r="AB455" s="34"/>
      <c r="AC455" s="56"/>
    </row>
    <row r="456" spans="1:29" s="57" customFormat="1" ht="47.25" x14ac:dyDescent="0.25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3" t="s">
        <v>308</v>
      </c>
      <c r="S456" s="58" t="s">
        <v>56</v>
      </c>
      <c r="T456" s="47">
        <v>0</v>
      </c>
      <c r="U456" s="3">
        <v>13.6</v>
      </c>
      <c r="V456" s="3">
        <v>13.6</v>
      </c>
      <c r="W456" s="3">
        <v>13.6</v>
      </c>
      <c r="X456" s="3">
        <v>13.6</v>
      </c>
      <c r="Y456" s="47">
        <v>0</v>
      </c>
      <c r="Z456" s="6">
        <f t="shared" si="53"/>
        <v>54.4</v>
      </c>
      <c r="AA456" s="44">
        <v>2022</v>
      </c>
      <c r="AB456" s="34"/>
      <c r="AC456" s="56"/>
    </row>
    <row r="457" spans="1:29" s="57" customFormat="1" ht="66.599999999999994" customHeight="1" x14ac:dyDescent="0.25">
      <c r="A457" s="60" t="s">
        <v>19</v>
      </c>
      <c r="B457" s="60" t="s">
        <v>19</v>
      </c>
      <c r="C457" s="60" t="s">
        <v>26</v>
      </c>
      <c r="D457" s="60" t="s">
        <v>19</v>
      </c>
      <c r="E457" s="60" t="s">
        <v>22</v>
      </c>
      <c r="F457" s="60" t="s">
        <v>19</v>
      </c>
      <c r="G457" s="60" t="s">
        <v>23</v>
      </c>
      <c r="H457" s="60" t="s">
        <v>20</v>
      </c>
      <c r="I457" s="60" t="s">
        <v>25</v>
      </c>
      <c r="J457" s="60" t="s">
        <v>19</v>
      </c>
      <c r="K457" s="60" t="s">
        <v>294</v>
      </c>
      <c r="L457" s="60" t="s">
        <v>21</v>
      </c>
      <c r="M457" s="60" t="s">
        <v>22</v>
      </c>
      <c r="N457" s="60" t="s">
        <v>22</v>
      </c>
      <c r="O457" s="60" t="s">
        <v>22</v>
      </c>
      <c r="P457" s="60" t="s">
        <v>22</v>
      </c>
      <c r="Q457" s="60" t="s">
        <v>21</v>
      </c>
      <c r="R457" s="148" t="s">
        <v>325</v>
      </c>
      <c r="S457" s="62" t="s">
        <v>0</v>
      </c>
      <c r="T457" s="1">
        <v>0</v>
      </c>
      <c r="U457" s="1">
        <v>2801.1</v>
      </c>
      <c r="V457" s="1">
        <v>2801.1</v>
      </c>
      <c r="W457" s="1">
        <v>2801.1</v>
      </c>
      <c r="X457" s="1">
        <v>2801.1</v>
      </c>
      <c r="Y457" s="1">
        <v>0</v>
      </c>
      <c r="Z457" s="66">
        <f t="shared" si="53"/>
        <v>11204.4</v>
      </c>
      <c r="AA457" s="65">
        <v>2022</v>
      </c>
      <c r="AB457" s="34"/>
      <c r="AC457" s="56"/>
    </row>
    <row r="458" spans="1:29" s="57" customFormat="1" ht="51" customHeight="1" x14ac:dyDescent="0.25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3" t="s">
        <v>309</v>
      </c>
      <c r="S458" s="58" t="s">
        <v>39</v>
      </c>
      <c r="T458" s="47">
        <v>0</v>
      </c>
      <c r="U458" s="47">
        <v>7</v>
      </c>
      <c r="V458" s="47">
        <v>7</v>
      </c>
      <c r="W458" s="47">
        <v>7</v>
      </c>
      <c r="X458" s="47">
        <v>7</v>
      </c>
      <c r="Y458" s="47">
        <v>0</v>
      </c>
      <c r="Z458" s="55">
        <f t="shared" si="53"/>
        <v>28</v>
      </c>
      <c r="AA458" s="44">
        <v>2022</v>
      </c>
      <c r="AB458" s="34"/>
      <c r="AC458" s="56"/>
    </row>
    <row r="459" spans="1:29" s="57" customFormat="1" ht="47.25" x14ac:dyDescent="0.25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3" t="s">
        <v>310</v>
      </c>
      <c r="S459" s="58" t="s">
        <v>56</v>
      </c>
      <c r="T459" s="47">
        <v>0</v>
      </c>
      <c r="U459" s="3">
        <v>11.3</v>
      </c>
      <c r="V459" s="3">
        <v>11.3</v>
      </c>
      <c r="W459" s="3">
        <v>11.3</v>
      </c>
      <c r="X459" s="3">
        <v>11.3</v>
      </c>
      <c r="Y459" s="47">
        <v>0</v>
      </c>
      <c r="Z459" s="6">
        <f t="shared" si="53"/>
        <v>45.2</v>
      </c>
      <c r="AA459" s="44">
        <v>2022</v>
      </c>
      <c r="AB459" s="34"/>
      <c r="AC459" s="56"/>
    </row>
    <row r="460" spans="1:29" ht="53.45" customHeight="1" x14ac:dyDescent="0.25">
      <c r="A460" s="49"/>
      <c r="B460" s="49"/>
      <c r="C460" s="49"/>
      <c r="D460" s="49"/>
      <c r="E460" s="49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110" t="s">
        <v>59</v>
      </c>
      <c r="S460" s="53" t="s">
        <v>0</v>
      </c>
      <c r="T460" s="52">
        <f t="shared" ref="T460:Y460" si="54">T464++T476+T479+T497</f>
        <v>7230.2999999999993</v>
      </c>
      <c r="U460" s="52">
        <f t="shared" si="54"/>
        <v>13132.7</v>
      </c>
      <c r="V460" s="52">
        <f t="shared" si="54"/>
        <v>7150.3000000000011</v>
      </c>
      <c r="W460" s="52">
        <f t="shared" si="54"/>
        <v>7133.9000000000005</v>
      </c>
      <c r="X460" s="52">
        <f t="shared" si="54"/>
        <v>8781.3000000000011</v>
      </c>
      <c r="Y460" s="52">
        <f t="shared" si="54"/>
        <v>8781.3000000000011</v>
      </c>
      <c r="Z460" s="52">
        <f>T460+U460+V460+W460+X460+Y460</f>
        <v>52209.80000000001</v>
      </c>
      <c r="AA460" s="53">
        <v>2023</v>
      </c>
      <c r="AB460" s="131"/>
    </row>
    <row r="461" spans="1:29" ht="35.450000000000003" customHeight="1" x14ac:dyDescent="0.25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54" t="s">
        <v>150</v>
      </c>
      <c r="S461" s="144" t="s">
        <v>32</v>
      </c>
      <c r="T461" s="4">
        <f t="shared" ref="T461:Y461" si="55">T465</f>
        <v>12648.4</v>
      </c>
      <c r="U461" s="4">
        <f t="shared" si="55"/>
        <v>10042.700000000001</v>
      </c>
      <c r="V461" s="4">
        <f t="shared" si="55"/>
        <v>10042.700000000001</v>
      </c>
      <c r="W461" s="4">
        <f t="shared" si="55"/>
        <v>10042.700000000001</v>
      </c>
      <c r="X461" s="4">
        <f t="shared" si="55"/>
        <v>10042.700000000001</v>
      </c>
      <c r="Y461" s="4">
        <f t="shared" si="55"/>
        <v>10042.700000000001</v>
      </c>
      <c r="Z461" s="5">
        <f>SUM(T461:Y461)</f>
        <v>62861.899999999994</v>
      </c>
      <c r="AA461" s="144">
        <v>2023</v>
      </c>
      <c r="AB461" s="34"/>
    </row>
    <row r="462" spans="1:29" ht="31.5" x14ac:dyDescent="0.25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54" t="s">
        <v>151</v>
      </c>
      <c r="S462" s="144" t="s">
        <v>52</v>
      </c>
      <c r="T462" s="47">
        <f t="shared" ref="T462:Z462" si="56">T480</f>
        <v>450</v>
      </c>
      <c r="U462" s="47">
        <f t="shared" si="56"/>
        <v>450</v>
      </c>
      <c r="V462" s="47">
        <f t="shared" si="56"/>
        <v>450</v>
      </c>
      <c r="W462" s="47">
        <f t="shared" si="56"/>
        <v>450</v>
      </c>
      <c r="X462" s="47">
        <f t="shared" si="56"/>
        <v>433</v>
      </c>
      <c r="Y462" s="47">
        <f t="shared" si="56"/>
        <v>433</v>
      </c>
      <c r="Z462" s="55">
        <f t="shared" si="56"/>
        <v>2666</v>
      </c>
      <c r="AA462" s="144">
        <v>2023</v>
      </c>
      <c r="AB462" s="34"/>
    </row>
    <row r="463" spans="1:29" ht="63" x14ac:dyDescent="0.25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54" t="s">
        <v>152</v>
      </c>
      <c r="S463" s="44" t="s">
        <v>39</v>
      </c>
      <c r="T463" s="47">
        <f t="shared" ref="T463:Y463" si="57">T498</f>
        <v>27</v>
      </c>
      <c r="U463" s="47">
        <f t="shared" si="57"/>
        <v>41</v>
      </c>
      <c r="V463" s="47">
        <f t="shared" si="57"/>
        <v>41</v>
      </c>
      <c r="W463" s="47">
        <f t="shared" si="57"/>
        <v>41</v>
      </c>
      <c r="X463" s="47">
        <f t="shared" si="57"/>
        <v>41</v>
      </c>
      <c r="Y463" s="47">
        <f t="shared" si="57"/>
        <v>41</v>
      </c>
      <c r="Z463" s="55">
        <f>T463+U463+V463+W463+X463+Y463</f>
        <v>232</v>
      </c>
      <c r="AA463" s="44">
        <v>2023</v>
      </c>
      <c r="AB463" s="34"/>
    </row>
    <row r="464" spans="1:29" ht="47.25" x14ac:dyDescent="0.25">
      <c r="A464" s="60"/>
      <c r="B464" s="60"/>
      <c r="C464" s="60"/>
      <c r="D464" s="60" t="s">
        <v>19</v>
      </c>
      <c r="E464" s="60" t="s">
        <v>22</v>
      </c>
      <c r="F464" s="60" t="s">
        <v>19</v>
      </c>
      <c r="G464" s="60" t="s">
        <v>23</v>
      </c>
      <c r="H464" s="60" t="s">
        <v>20</v>
      </c>
      <c r="I464" s="60" t="s">
        <v>25</v>
      </c>
      <c r="J464" s="60" t="s">
        <v>19</v>
      </c>
      <c r="K464" s="60" t="s">
        <v>19</v>
      </c>
      <c r="L464" s="60" t="s">
        <v>23</v>
      </c>
      <c r="M464" s="60" t="s">
        <v>19</v>
      </c>
      <c r="N464" s="60" t="s">
        <v>19</v>
      </c>
      <c r="O464" s="60" t="s">
        <v>19</v>
      </c>
      <c r="P464" s="60" t="s">
        <v>19</v>
      </c>
      <c r="Q464" s="60" t="s">
        <v>19</v>
      </c>
      <c r="R464" s="84" t="s">
        <v>153</v>
      </c>
      <c r="S464" s="65" t="s">
        <v>0</v>
      </c>
      <c r="T464" s="66">
        <f t="shared" ref="T464:Y464" si="58">T466+T470+T468+T472+T474</f>
        <v>5760.9</v>
      </c>
      <c r="U464" s="66">
        <f t="shared" si="58"/>
        <v>5478.6</v>
      </c>
      <c r="V464" s="66">
        <f t="shared" si="58"/>
        <v>5478.6</v>
      </c>
      <c r="W464" s="66">
        <f t="shared" si="58"/>
        <v>5478.6</v>
      </c>
      <c r="X464" s="66">
        <f t="shared" si="58"/>
        <v>5478.6</v>
      </c>
      <c r="Y464" s="66">
        <f t="shared" si="58"/>
        <v>5478.6</v>
      </c>
      <c r="Z464" s="66">
        <f>SUM(T464:Y464)</f>
        <v>33153.899999999994</v>
      </c>
      <c r="AA464" s="65">
        <v>2023</v>
      </c>
      <c r="AB464" s="131"/>
    </row>
    <row r="465" spans="1:33" ht="31.5" x14ac:dyDescent="0.25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37" t="s">
        <v>150</v>
      </c>
      <c r="S465" s="144" t="s">
        <v>32</v>
      </c>
      <c r="T465" s="3">
        <f t="shared" ref="T465:Y465" si="59">T467+T469+T471+T473+T475</f>
        <v>12648.4</v>
      </c>
      <c r="U465" s="3">
        <f t="shared" si="59"/>
        <v>10042.700000000001</v>
      </c>
      <c r="V465" s="3">
        <f t="shared" si="59"/>
        <v>10042.700000000001</v>
      </c>
      <c r="W465" s="3">
        <f t="shared" si="59"/>
        <v>10042.700000000001</v>
      </c>
      <c r="X465" s="3">
        <f t="shared" si="59"/>
        <v>10042.700000000001</v>
      </c>
      <c r="Y465" s="3">
        <f t="shared" si="59"/>
        <v>10042.700000000001</v>
      </c>
      <c r="Z465" s="5">
        <f t="shared" ref="Z465:Z475" si="60">T465+U465+V465+W465+X465+Y465</f>
        <v>62861.899999999994</v>
      </c>
      <c r="AA465" s="44">
        <v>2023</v>
      </c>
      <c r="AB465" s="134"/>
      <c r="AC465" s="112"/>
    </row>
    <row r="466" spans="1:33" ht="47.25" x14ac:dyDescent="0.25">
      <c r="A466" s="60" t="s">
        <v>19</v>
      </c>
      <c r="B466" s="60" t="s">
        <v>19</v>
      </c>
      <c r="C466" s="60" t="s">
        <v>23</v>
      </c>
      <c r="D466" s="60" t="s">
        <v>19</v>
      </c>
      <c r="E466" s="60" t="s">
        <v>22</v>
      </c>
      <c r="F466" s="60" t="s">
        <v>19</v>
      </c>
      <c r="G466" s="60" t="s">
        <v>23</v>
      </c>
      <c r="H466" s="60" t="s">
        <v>20</v>
      </c>
      <c r="I466" s="60" t="s">
        <v>25</v>
      </c>
      <c r="J466" s="60" t="s">
        <v>19</v>
      </c>
      <c r="K466" s="60" t="s">
        <v>19</v>
      </c>
      <c r="L466" s="60" t="s">
        <v>23</v>
      </c>
      <c r="M466" s="60" t="s">
        <v>19</v>
      </c>
      <c r="N466" s="60" t="s">
        <v>19</v>
      </c>
      <c r="O466" s="60" t="s">
        <v>19</v>
      </c>
      <c r="P466" s="60" t="s">
        <v>19</v>
      </c>
      <c r="Q466" s="60" t="s">
        <v>19</v>
      </c>
      <c r="R466" s="84" t="s">
        <v>154</v>
      </c>
      <c r="S466" s="62" t="s">
        <v>0</v>
      </c>
      <c r="T466" s="1">
        <f>3617.1-376.2-40-150</f>
        <v>3050.9</v>
      </c>
      <c r="U466" s="1">
        <v>2917.1</v>
      </c>
      <c r="V466" s="1">
        <v>2917.1</v>
      </c>
      <c r="W466" s="1">
        <v>2917.1</v>
      </c>
      <c r="X466" s="1">
        <v>2917.1</v>
      </c>
      <c r="Y466" s="1">
        <v>2917.1</v>
      </c>
      <c r="Z466" s="66">
        <f t="shared" si="60"/>
        <v>17636.400000000001</v>
      </c>
      <c r="AA466" s="65">
        <v>2023</v>
      </c>
      <c r="AB466" s="130"/>
      <c r="AC466" s="112"/>
      <c r="AD466" s="112"/>
    </row>
    <row r="467" spans="1:33" ht="47.25" x14ac:dyDescent="0.25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68" t="s">
        <v>155</v>
      </c>
      <c r="S467" s="144" t="s">
        <v>32</v>
      </c>
      <c r="T467" s="3">
        <v>4849</v>
      </c>
      <c r="U467" s="3">
        <v>4307</v>
      </c>
      <c r="V467" s="3">
        <v>4307</v>
      </c>
      <c r="W467" s="3">
        <v>4307</v>
      </c>
      <c r="X467" s="3">
        <v>4307</v>
      </c>
      <c r="Y467" s="3">
        <v>4307</v>
      </c>
      <c r="Z467" s="5">
        <f t="shared" si="60"/>
        <v>26384</v>
      </c>
      <c r="AA467" s="44">
        <v>2023</v>
      </c>
      <c r="AB467" s="134"/>
      <c r="AC467" s="112"/>
    </row>
    <row r="468" spans="1:33" ht="47.25" x14ac:dyDescent="0.25">
      <c r="A468" s="60" t="s">
        <v>19</v>
      </c>
      <c r="B468" s="60" t="s">
        <v>19</v>
      </c>
      <c r="C468" s="60" t="s">
        <v>25</v>
      </c>
      <c r="D468" s="60" t="s">
        <v>19</v>
      </c>
      <c r="E468" s="60" t="s">
        <v>22</v>
      </c>
      <c r="F468" s="60" t="s">
        <v>19</v>
      </c>
      <c r="G468" s="60" t="s">
        <v>23</v>
      </c>
      <c r="H468" s="60" t="s">
        <v>20</v>
      </c>
      <c r="I468" s="60" t="s">
        <v>25</v>
      </c>
      <c r="J468" s="60" t="s">
        <v>19</v>
      </c>
      <c r="K468" s="60" t="s">
        <v>19</v>
      </c>
      <c r="L468" s="60" t="s">
        <v>23</v>
      </c>
      <c r="M468" s="60" t="s">
        <v>19</v>
      </c>
      <c r="N468" s="60" t="s">
        <v>19</v>
      </c>
      <c r="O468" s="60" t="s">
        <v>19</v>
      </c>
      <c r="P468" s="60" t="s">
        <v>19</v>
      </c>
      <c r="Q468" s="60" t="s">
        <v>19</v>
      </c>
      <c r="R468" s="84" t="s">
        <v>156</v>
      </c>
      <c r="S468" s="62" t="s">
        <v>0</v>
      </c>
      <c r="T468" s="1">
        <f>398.5-63.6-24.8</f>
        <v>310.09999999999997</v>
      </c>
      <c r="U468" s="1">
        <v>398.5</v>
      </c>
      <c r="V468" s="1">
        <v>398.5</v>
      </c>
      <c r="W468" s="1">
        <v>398.5</v>
      </c>
      <c r="X468" s="1">
        <v>398.5</v>
      </c>
      <c r="Y468" s="1">
        <v>398.5</v>
      </c>
      <c r="Z468" s="66">
        <f>T468+U468+V468+W468+X468+Y468</f>
        <v>2302.6</v>
      </c>
      <c r="AA468" s="65">
        <v>2023</v>
      </c>
      <c r="AB468" s="130"/>
      <c r="AC468" s="112"/>
    </row>
    <row r="469" spans="1:33" ht="47.25" x14ac:dyDescent="0.25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68" t="s">
        <v>157</v>
      </c>
      <c r="S469" s="144" t="s">
        <v>32</v>
      </c>
      <c r="T469" s="4">
        <v>421.4</v>
      </c>
      <c r="U469" s="4">
        <v>529.70000000000005</v>
      </c>
      <c r="V469" s="4">
        <v>529.70000000000005</v>
      </c>
      <c r="W469" s="4">
        <v>529.70000000000005</v>
      </c>
      <c r="X469" s="4">
        <v>529.70000000000005</v>
      </c>
      <c r="Y469" s="4">
        <v>529.70000000000005</v>
      </c>
      <c r="Z469" s="5">
        <f t="shared" si="60"/>
        <v>3069.9000000000005</v>
      </c>
      <c r="AA469" s="44">
        <v>2023</v>
      </c>
      <c r="AB469" s="134"/>
      <c r="AC469" s="112"/>
    </row>
    <row r="470" spans="1:33" ht="47.25" x14ac:dyDescent="0.25">
      <c r="A470" s="60" t="s">
        <v>19</v>
      </c>
      <c r="B470" s="60" t="s">
        <v>19</v>
      </c>
      <c r="C470" s="60" t="s">
        <v>22</v>
      </c>
      <c r="D470" s="60" t="s">
        <v>19</v>
      </c>
      <c r="E470" s="60" t="s">
        <v>22</v>
      </c>
      <c r="F470" s="60" t="s">
        <v>19</v>
      </c>
      <c r="G470" s="60" t="s">
        <v>23</v>
      </c>
      <c r="H470" s="60" t="s">
        <v>20</v>
      </c>
      <c r="I470" s="60" t="s">
        <v>25</v>
      </c>
      <c r="J470" s="60" t="s">
        <v>19</v>
      </c>
      <c r="K470" s="60" t="s">
        <v>19</v>
      </c>
      <c r="L470" s="60" t="s">
        <v>23</v>
      </c>
      <c r="M470" s="60" t="s">
        <v>19</v>
      </c>
      <c r="N470" s="60" t="s">
        <v>19</v>
      </c>
      <c r="O470" s="60" t="s">
        <v>19</v>
      </c>
      <c r="P470" s="60" t="s">
        <v>19</v>
      </c>
      <c r="Q470" s="60" t="s">
        <v>19</v>
      </c>
      <c r="R470" s="76" t="s">
        <v>158</v>
      </c>
      <c r="S470" s="62" t="s">
        <v>0</v>
      </c>
      <c r="T470" s="1">
        <f>1961.8-500-47.8</f>
        <v>1414</v>
      </c>
      <c r="U470" s="1">
        <v>1163</v>
      </c>
      <c r="V470" s="1">
        <v>1163</v>
      </c>
      <c r="W470" s="1">
        <v>1163</v>
      </c>
      <c r="X470" s="1">
        <v>1163</v>
      </c>
      <c r="Y470" s="1">
        <v>1163</v>
      </c>
      <c r="Z470" s="66">
        <f t="shared" si="60"/>
        <v>7229</v>
      </c>
      <c r="AA470" s="65">
        <v>2023</v>
      </c>
      <c r="AB470" s="130"/>
      <c r="AC470" s="112"/>
    </row>
    <row r="471" spans="1:33" ht="47.25" x14ac:dyDescent="0.25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68" t="s">
        <v>159</v>
      </c>
      <c r="S471" s="144" t="s">
        <v>32</v>
      </c>
      <c r="T471" s="4">
        <v>3300</v>
      </c>
      <c r="U471" s="4">
        <v>1717</v>
      </c>
      <c r="V471" s="4">
        <v>1717</v>
      </c>
      <c r="W471" s="4">
        <v>1717</v>
      </c>
      <c r="X471" s="4">
        <v>1717</v>
      </c>
      <c r="Y471" s="4">
        <v>1717</v>
      </c>
      <c r="Z471" s="5">
        <f t="shared" si="60"/>
        <v>11885</v>
      </c>
      <c r="AA471" s="44">
        <v>2023</v>
      </c>
      <c r="AB471" s="134"/>
      <c r="AC471" s="112"/>
    </row>
    <row r="472" spans="1:33" ht="47.25" x14ac:dyDescent="0.25">
      <c r="A472" s="60" t="s">
        <v>19</v>
      </c>
      <c r="B472" s="60" t="s">
        <v>19</v>
      </c>
      <c r="C472" s="60" t="s">
        <v>26</v>
      </c>
      <c r="D472" s="60" t="s">
        <v>19</v>
      </c>
      <c r="E472" s="60" t="s">
        <v>22</v>
      </c>
      <c r="F472" s="60" t="s">
        <v>19</v>
      </c>
      <c r="G472" s="60" t="s">
        <v>23</v>
      </c>
      <c r="H472" s="60" t="s">
        <v>20</v>
      </c>
      <c r="I472" s="60" t="s">
        <v>25</v>
      </c>
      <c r="J472" s="60" t="s">
        <v>19</v>
      </c>
      <c r="K472" s="60" t="s">
        <v>19</v>
      </c>
      <c r="L472" s="60" t="s">
        <v>23</v>
      </c>
      <c r="M472" s="60" t="s">
        <v>19</v>
      </c>
      <c r="N472" s="60" t="s">
        <v>19</v>
      </c>
      <c r="O472" s="60" t="s">
        <v>19</v>
      </c>
      <c r="P472" s="60" t="s">
        <v>19</v>
      </c>
      <c r="Q472" s="60" t="s">
        <v>19</v>
      </c>
      <c r="R472" s="76" t="s">
        <v>160</v>
      </c>
      <c r="S472" s="62" t="s">
        <v>0</v>
      </c>
      <c r="T472" s="1">
        <f>1502-455.3-60.8</f>
        <v>985.90000000000009</v>
      </c>
      <c r="U472" s="1">
        <v>1000</v>
      </c>
      <c r="V472" s="1">
        <v>1000</v>
      </c>
      <c r="W472" s="1">
        <v>1000</v>
      </c>
      <c r="X472" s="1">
        <v>1000</v>
      </c>
      <c r="Y472" s="1">
        <v>1000</v>
      </c>
      <c r="Z472" s="66">
        <f t="shared" si="60"/>
        <v>5985.9</v>
      </c>
      <c r="AA472" s="65">
        <v>2023</v>
      </c>
      <c r="AB472" s="131"/>
      <c r="AC472" s="12"/>
    </row>
    <row r="473" spans="1:33" ht="51.75" hidden="1" customHeight="1" x14ac:dyDescent="0.25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3" t="s">
        <v>161</v>
      </c>
      <c r="S473" s="44" t="s">
        <v>32</v>
      </c>
      <c r="T473" s="3">
        <v>2175</v>
      </c>
      <c r="U473" s="3">
        <v>2175</v>
      </c>
      <c r="V473" s="3">
        <v>2175</v>
      </c>
      <c r="W473" s="3">
        <v>2175</v>
      </c>
      <c r="X473" s="3">
        <v>2175</v>
      </c>
      <c r="Y473" s="3">
        <v>2175</v>
      </c>
      <c r="Z473" s="6">
        <f t="shared" si="60"/>
        <v>13050</v>
      </c>
      <c r="AA473" s="80">
        <v>2020</v>
      </c>
      <c r="AB473" s="34"/>
    </row>
    <row r="474" spans="1:33" ht="51" hidden="1" customHeight="1" x14ac:dyDescent="0.25">
      <c r="A474" s="60" t="s">
        <v>19</v>
      </c>
      <c r="B474" s="60" t="s">
        <v>20</v>
      </c>
      <c r="C474" s="60" t="s">
        <v>21</v>
      </c>
      <c r="D474" s="60" t="s">
        <v>19</v>
      </c>
      <c r="E474" s="60" t="s">
        <v>22</v>
      </c>
      <c r="F474" s="60" t="s">
        <v>19</v>
      </c>
      <c r="G474" s="60" t="s">
        <v>23</v>
      </c>
      <c r="H474" s="60" t="s">
        <v>19</v>
      </c>
      <c r="I474" s="60" t="s">
        <v>24</v>
      </c>
      <c r="J474" s="60" t="s">
        <v>19</v>
      </c>
      <c r="K474" s="60" t="s">
        <v>19</v>
      </c>
      <c r="L474" s="60" t="s">
        <v>21</v>
      </c>
      <c r="M474" s="60" t="s">
        <v>19</v>
      </c>
      <c r="N474" s="60" t="s">
        <v>19</v>
      </c>
      <c r="O474" s="60" t="s">
        <v>19</v>
      </c>
      <c r="P474" s="60" t="s">
        <v>19</v>
      </c>
      <c r="Q474" s="60" t="s">
        <v>19</v>
      </c>
      <c r="R474" s="76" t="s">
        <v>162</v>
      </c>
      <c r="S474" s="62" t="s">
        <v>0</v>
      </c>
      <c r="T474" s="1">
        <v>0</v>
      </c>
      <c r="U474" s="1">
        <v>0</v>
      </c>
      <c r="V474" s="1">
        <v>0</v>
      </c>
      <c r="W474" s="1">
        <v>0</v>
      </c>
      <c r="X474" s="1">
        <v>0</v>
      </c>
      <c r="Y474" s="1">
        <v>0</v>
      </c>
      <c r="Z474" s="66">
        <f t="shared" si="60"/>
        <v>0</v>
      </c>
      <c r="AA474" s="44">
        <v>2020</v>
      </c>
      <c r="AB474" s="34"/>
    </row>
    <row r="475" spans="1:33" ht="46.5" customHeight="1" x14ac:dyDescent="0.2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3" t="s">
        <v>163</v>
      </c>
      <c r="S475" s="144" t="s">
        <v>32</v>
      </c>
      <c r="T475" s="3">
        <v>1903</v>
      </c>
      <c r="U475" s="3">
        <v>1314</v>
      </c>
      <c r="V475" s="3">
        <v>1314</v>
      </c>
      <c r="W475" s="3">
        <v>1314</v>
      </c>
      <c r="X475" s="3">
        <v>1314</v>
      </c>
      <c r="Y475" s="3">
        <v>1314</v>
      </c>
      <c r="Z475" s="5">
        <f t="shared" si="60"/>
        <v>8473</v>
      </c>
      <c r="AA475" s="44">
        <v>2023</v>
      </c>
      <c r="AB475" s="134"/>
      <c r="AC475" s="112"/>
    </row>
    <row r="476" spans="1:33" ht="66" customHeight="1" x14ac:dyDescent="0.25">
      <c r="A476" s="60" t="s">
        <v>19</v>
      </c>
      <c r="B476" s="60" t="s">
        <v>25</v>
      </c>
      <c r="C476" s="60" t="s">
        <v>23</v>
      </c>
      <c r="D476" s="60" t="s">
        <v>19</v>
      </c>
      <c r="E476" s="60" t="s">
        <v>22</v>
      </c>
      <c r="F476" s="60" t="s">
        <v>19</v>
      </c>
      <c r="G476" s="60" t="s">
        <v>23</v>
      </c>
      <c r="H476" s="60" t="s">
        <v>20</v>
      </c>
      <c r="I476" s="60" t="s">
        <v>25</v>
      </c>
      <c r="J476" s="60" t="s">
        <v>19</v>
      </c>
      <c r="K476" s="60" t="s">
        <v>19</v>
      </c>
      <c r="L476" s="60" t="s">
        <v>23</v>
      </c>
      <c r="M476" s="60" t="s">
        <v>19</v>
      </c>
      <c r="N476" s="60" t="s">
        <v>19</v>
      </c>
      <c r="O476" s="60" t="s">
        <v>19</v>
      </c>
      <c r="P476" s="60" t="s">
        <v>19</v>
      </c>
      <c r="Q476" s="60" t="s">
        <v>19</v>
      </c>
      <c r="R476" s="146" t="s">
        <v>164</v>
      </c>
      <c r="S476" s="62" t="s">
        <v>0</v>
      </c>
      <c r="T476" s="1">
        <v>0</v>
      </c>
      <c r="U476" s="1">
        <v>0</v>
      </c>
      <c r="V476" s="1">
        <v>0</v>
      </c>
      <c r="W476" s="1">
        <v>0</v>
      </c>
      <c r="X476" s="1">
        <v>1782</v>
      </c>
      <c r="Y476" s="1">
        <v>1782</v>
      </c>
      <c r="Z476" s="66">
        <f>T476+U476+V476+W476+X476+Y476</f>
        <v>3564</v>
      </c>
      <c r="AA476" s="65">
        <v>2023</v>
      </c>
      <c r="AB476" s="34"/>
    </row>
    <row r="477" spans="1:33" ht="48" customHeight="1" x14ac:dyDescent="0.25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7" t="s">
        <v>165</v>
      </c>
      <c r="S477" s="144" t="s">
        <v>32</v>
      </c>
      <c r="T477" s="3">
        <v>0</v>
      </c>
      <c r="U477" s="3">
        <v>0</v>
      </c>
      <c r="V477" s="3">
        <v>0</v>
      </c>
      <c r="W477" s="3">
        <v>0</v>
      </c>
      <c r="X477" s="3">
        <v>5619</v>
      </c>
      <c r="Y477" s="3">
        <v>5619</v>
      </c>
      <c r="Z477" s="5">
        <f>T477+U477+V477+W477+X477+Y477</f>
        <v>11238</v>
      </c>
      <c r="AA477" s="44">
        <v>2023</v>
      </c>
      <c r="AB477" s="131"/>
      <c r="AC477" s="125"/>
      <c r="AD477" s="112"/>
      <c r="AE477" s="112"/>
      <c r="AF477" s="112"/>
      <c r="AG477" s="8"/>
    </row>
    <row r="478" spans="1:33" ht="0.75" hidden="1" customHeight="1" x14ac:dyDescent="0.25">
      <c r="A478" s="60"/>
      <c r="B478" s="60"/>
      <c r="C478" s="60"/>
      <c r="D478" s="60" t="s">
        <v>19</v>
      </c>
      <c r="E478" s="60" t="s">
        <v>22</v>
      </c>
      <c r="F478" s="60" t="s">
        <v>19</v>
      </c>
      <c r="G478" s="60" t="s">
        <v>23</v>
      </c>
      <c r="H478" s="60" t="s">
        <v>19</v>
      </c>
      <c r="I478" s="60" t="s">
        <v>24</v>
      </c>
      <c r="J478" s="60" t="s">
        <v>19</v>
      </c>
      <c r="K478" s="60" t="s">
        <v>19</v>
      </c>
      <c r="L478" s="60" t="s">
        <v>21</v>
      </c>
      <c r="M478" s="60" t="s">
        <v>20</v>
      </c>
      <c r="N478" s="60" t="s">
        <v>19</v>
      </c>
      <c r="O478" s="60" t="s">
        <v>22</v>
      </c>
      <c r="P478" s="60" t="s">
        <v>22</v>
      </c>
      <c r="Q478" s="60" t="s">
        <v>19</v>
      </c>
      <c r="R478" s="173" t="s">
        <v>166</v>
      </c>
      <c r="S478" s="62" t="s">
        <v>0</v>
      </c>
      <c r="T478" s="1">
        <f t="shared" ref="T478:Y479" si="61">T481+T484+T487+T490</f>
        <v>1308.2000000000003</v>
      </c>
      <c r="U478" s="1">
        <f t="shared" si="61"/>
        <v>1308.2000000000003</v>
      </c>
      <c r="V478" s="1">
        <f t="shared" si="61"/>
        <v>1308.2000000000003</v>
      </c>
      <c r="W478" s="1">
        <f t="shared" si="61"/>
        <v>1308.2000000000003</v>
      </c>
      <c r="X478" s="1">
        <f t="shared" si="61"/>
        <v>1308.2000000000003</v>
      </c>
      <c r="Y478" s="1">
        <f t="shared" si="61"/>
        <v>1308.2000000000003</v>
      </c>
      <c r="Z478" s="66">
        <f>T478+U478+V478+W478+X478+Y478</f>
        <v>7849.2000000000025</v>
      </c>
      <c r="AA478" s="80">
        <v>2016</v>
      </c>
      <c r="AB478" s="34"/>
      <c r="AC478" s="12"/>
      <c r="AD478" s="12"/>
    </row>
    <row r="479" spans="1:33" ht="31.9" customHeight="1" x14ac:dyDescent="0.25">
      <c r="A479" s="60"/>
      <c r="B479" s="60"/>
      <c r="C479" s="60"/>
      <c r="D479" s="60" t="s">
        <v>19</v>
      </c>
      <c r="E479" s="60" t="s">
        <v>25</v>
      </c>
      <c r="F479" s="60" t="s">
        <v>19</v>
      </c>
      <c r="G479" s="60" t="s">
        <v>22</v>
      </c>
      <c r="H479" s="60" t="s">
        <v>20</v>
      </c>
      <c r="I479" s="60" t="s">
        <v>25</v>
      </c>
      <c r="J479" s="60" t="s">
        <v>19</v>
      </c>
      <c r="K479" s="60" t="s">
        <v>19</v>
      </c>
      <c r="L479" s="60" t="s">
        <v>23</v>
      </c>
      <c r="M479" s="60" t="s">
        <v>20</v>
      </c>
      <c r="N479" s="60" t="s">
        <v>19</v>
      </c>
      <c r="O479" s="60" t="s">
        <v>22</v>
      </c>
      <c r="P479" s="60" t="s">
        <v>22</v>
      </c>
      <c r="Q479" s="60" t="s">
        <v>19</v>
      </c>
      <c r="R479" s="173"/>
      <c r="S479" s="65" t="s">
        <v>0</v>
      </c>
      <c r="T479" s="66">
        <f t="shared" si="61"/>
        <v>1399.4</v>
      </c>
      <c r="U479" s="66">
        <f>U482+U485+U488+U491+U495</f>
        <v>7534.5</v>
      </c>
      <c r="V479" s="66">
        <f t="shared" si="61"/>
        <v>1552.1000000000001</v>
      </c>
      <c r="W479" s="66">
        <f t="shared" si="61"/>
        <v>1535.7</v>
      </c>
      <c r="X479" s="66">
        <f t="shared" si="61"/>
        <v>1401.1000000000001</v>
      </c>
      <c r="Y479" s="66">
        <f t="shared" si="61"/>
        <v>1401.1000000000001</v>
      </c>
      <c r="Z479" s="66">
        <f>Z482+Z485+Z488+Z491+Z495</f>
        <v>14823.9</v>
      </c>
      <c r="AA479" s="65">
        <v>2023</v>
      </c>
      <c r="AB479" s="131"/>
      <c r="AC479" s="12"/>
      <c r="AD479" s="12"/>
    </row>
    <row r="480" spans="1:33" ht="31.9" customHeight="1" x14ac:dyDescent="0.25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3" t="s">
        <v>167</v>
      </c>
      <c r="S480" s="144" t="s">
        <v>52</v>
      </c>
      <c r="T480" s="47">
        <f t="shared" ref="T480:Y480" si="62">T483+T486+T489+T494</f>
        <v>450</v>
      </c>
      <c r="U480" s="47">
        <f>U483+U486+U489+U494</f>
        <v>450</v>
      </c>
      <c r="V480" s="47">
        <f t="shared" si="62"/>
        <v>450</v>
      </c>
      <c r="W480" s="47">
        <f t="shared" si="62"/>
        <v>450</v>
      </c>
      <c r="X480" s="47">
        <f t="shared" si="62"/>
        <v>433</v>
      </c>
      <c r="Y480" s="47">
        <f t="shared" si="62"/>
        <v>433</v>
      </c>
      <c r="Z480" s="55">
        <f t="shared" ref="Z480:Z492" si="63">T480+U480+V480+W480+X480+Y480</f>
        <v>2666</v>
      </c>
      <c r="AA480" s="44">
        <v>2023</v>
      </c>
      <c r="AB480" s="34"/>
      <c r="AC480" s="12"/>
      <c r="AD480" s="12"/>
    </row>
    <row r="481" spans="1:30" ht="36.75" hidden="1" customHeight="1" x14ac:dyDescent="0.25">
      <c r="A481" s="60" t="s">
        <v>19</v>
      </c>
      <c r="B481" s="60" t="s">
        <v>19</v>
      </c>
      <c r="C481" s="60" t="s">
        <v>23</v>
      </c>
      <c r="D481" s="60" t="s">
        <v>19</v>
      </c>
      <c r="E481" s="60" t="s">
        <v>22</v>
      </c>
      <c r="F481" s="60" t="s">
        <v>19</v>
      </c>
      <c r="G481" s="60" t="s">
        <v>23</v>
      </c>
      <c r="H481" s="60" t="s">
        <v>19</v>
      </c>
      <c r="I481" s="60" t="s">
        <v>24</v>
      </c>
      <c r="J481" s="60" t="s">
        <v>19</v>
      </c>
      <c r="K481" s="60" t="s">
        <v>19</v>
      </c>
      <c r="L481" s="60" t="s">
        <v>21</v>
      </c>
      <c r="M481" s="60" t="s">
        <v>20</v>
      </c>
      <c r="N481" s="60" t="s">
        <v>19</v>
      </c>
      <c r="O481" s="60" t="s">
        <v>22</v>
      </c>
      <c r="P481" s="60" t="s">
        <v>22</v>
      </c>
      <c r="Q481" s="60" t="s">
        <v>19</v>
      </c>
      <c r="R481" s="174" t="s">
        <v>168</v>
      </c>
      <c r="S481" s="62" t="s">
        <v>0</v>
      </c>
      <c r="T481" s="1">
        <f t="shared" ref="T481:Y481" si="64">472.4-26.9</f>
        <v>445.5</v>
      </c>
      <c r="U481" s="1">
        <f t="shared" si="64"/>
        <v>445.5</v>
      </c>
      <c r="V481" s="1">
        <f t="shared" si="64"/>
        <v>445.5</v>
      </c>
      <c r="W481" s="1">
        <f t="shared" si="64"/>
        <v>445.5</v>
      </c>
      <c r="X481" s="1">
        <f t="shared" si="64"/>
        <v>445.5</v>
      </c>
      <c r="Y481" s="1">
        <f t="shared" si="64"/>
        <v>445.5</v>
      </c>
      <c r="Z481" s="66">
        <f t="shared" si="63"/>
        <v>2673</v>
      </c>
      <c r="AA481" s="44">
        <v>2023</v>
      </c>
      <c r="AB481" s="34"/>
      <c r="AC481" s="12"/>
      <c r="AD481" s="12"/>
    </row>
    <row r="482" spans="1:30" ht="34.15" customHeight="1" x14ac:dyDescent="0.25">
      <c r="A482" s="60" t="s">
        <v>19</v>
      </c>
      <c r="B482" s="60" t="s">
        <v>19</v>
      </c>
      <c r="C482" s="60" t="s">
        <v>23</v>
      </c>
      <c r="D482" s="60" t="s">
        <v>19</v>
      </c>
      <c r="E482" s="60" t="s">
        <v>25</v>
      </c>
      <c r="F482" s="60" t="s">
        <v>19</v>
      </c>
      <c r="G482" s="60" t="s">
        <v>22</v>
      </c>
      <c r="H482" s="60" t="s">
        <v>20</v>
      </c>
      <c r="I482" s="60" t="s">
        <v>25</v>
      </c>
      <c r="J482" s="60" t="s">
        <v>19</v>
      </c>
      <c r="K482" s="60" t="s">
        <v>19</v>
      </c>
      <c r="L482" s="60" t="s">
        <v>23</v>
      </c>
      <c r="M482" s="60" t="s">
        <v>20</v>
      </c>
      <c r="N482" s="60" t="s">
        <v>19</v>
      </c>
      <c r="O482" s="60" t="s">
        <v>22</v>
      </c>
      <c r="P482" s="60" t="s">
        <v>22</v>
      </c>
      <c r="Q482" s="60" t="s">
        <v>19</v>
      </c>
      <c r="R482" s="175"/>
      <c r="S482" s="62" t="s">
        <v>0</v>
      </c>
      <c r="T482" s="1">
        <f t="shared" ref="T482:Y482" si="65">445.5+45.8</f>
        <v>491.3</v>
      </c>
      <c r="U482" s="1">
        <f>445.5+45.8+47.5</f>
        <v>538.79999999999995</v>
      </c>
      <c r="V482" s="1">
        <f>445.5+45.8+53.6</f>
        <v>544.9</v>
      </c>
      <c r="W482" s="1">
        <f>445.5+45.8+47.9</f>
        <v>539.20000000000005</v>
      </c>
      <c r="X482" s="1">
        <f t="shared" si="65"/>
        <v>491.3</v>
      </c>
      <c r="Y482" s="1">
        <f t="shared" si="65"/>
        <v>491.3</v>
      </c>
      <c r="Z482" s="66">
        <f>T482+U482+V482+W482+X482+Y482</f>
        <v>3096.8</v>
      </c>
      <c r="AA482" s="65">
        <v>2023</v>
      </c>
      <c r="AB482" s="131"/>
    </row>
    <row r="483" spans="1:30" ht="47.25" x14ac:dyDescent="0.25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68" t="s">
        <v>169</v>
      </c>
      <c r="S483" s="144" t="s">
        <v>52</v>
      </c>
      <c r="T483" s="2">
        <v>158</v>
      </c>
      <c r="U483" s="2">
        <v>158</v>
      </c>
      <c r="V483" s="2">
        <v>158</v>
      </c>
      <c r="W483" s="2">
        <v>158</v>
      </c>
      <c r="X483" s="2">
        <v>148</v>
      </c>
      <c r="Y483" s="2">
        <v>148</v>
      </c>
      <c r="Z483" s="55">
        <f t="shared" si="63"/>
        <v>928</v>
      </c>
      <c r="AA483" s="44">
        <v>2023</v>
      </c>
      <c r="AB483" s="34"/>
    </row>
    <row r="484" spans="1:30" ht="36" hidden="1" customHeight="1" x14ac:dyDescent="0.25">
      <c r="A484" s="60" t="s">
        <v>19</v>
      </c>
      <c r="B484" s="60" t="s">
        <v>19</v>
      </c>
      <c r="C484" s="60" t="s">
        <v>25</v>
      </c>
      <c r="D484" s="60" t="s">
        <v>19</v>
      </c>
      <c r="E484" s="60" t="s">
        <v>22</v>
      </c>
      <c r="F484" s="60" t="s">
        <v>19</v>
      </c>
      <c r="G484" s="60" t="s">
        <v>23</v>
      </c>
      <c r="H484" s="60" t="s">
        <v>19</v>
      </c>
      <c r="I484" s="60" t="s">
        <v>24</v>
      </c>
      <c r="J484" s="60" t="s">
        <v>19</v>
      </c>
      <c r="K484" s="60" t="s">
        <v>19</v>
      </c>
      <c r="L484" s="60" t="s">
        <v>21</v>
      </c>
      <c r="M484" s="60" t="s">
        <v>20</v>
      </c>
      <c r="N484" s="60" t="s">
        <v>19</v>
      </c>
      <c r="O484" s="60" t="s">
        <v>22</v>
      </c>
      <c r="P484" s="60" t="s">
        <v>22</v>
      </c>
      <c r="Q484" s="60" t="s">
        <v>19</v>
      </c>
      <c r="R484" s="167" t="s">
        <v>168</v>
      </c>
      <c r="S484" s="62" t="s">
        <v>0</v>
      </c>
      <c r="T484" s="1">
        <f t="shared" ref="T484:Y484" si="66">302-17.3</f>
        <v>284.7</v>
      </c>
      <c r="U484" s="1">
        <f t="shared" si="66"/>
        <v>284.7</v>
      </c>
      <c r="V484" s="1">
        <f t="shared" si="66"/>
        <v>284.7</v>
      </c>
      <c r="W484" s="1">
        <f t="shared" si="66"/>
        <v>284.7</v>
      </c>
      <c r="X484" s="1">
        <f t="shared" si="66"/>
        <v>284.7</v>
      </c>
      <c r="Y484" s="1">
        <f t="shared" si="66"/>
        <v>284.7</v>
      </c>
      <c r="Z484" s="66">
        <f t="shared" si="63"/>
        <v>1708.2</v>
      </c>
      <c r="AA484" s="44">
        <v>2023</v>
      </c>
      <c r="AB484" s="34"/>
    </row>
    <row r="485" spans="1:30" ht="37.15" customHeight="1" x14ac:dyDescent="0.25">
      <c r="A485" s="60" t="s">
        <v>19</v>
      </c>
      <c r="B485" s="60" t="s">
        <v>19</v>
      </c>
      <c r="C485" s="60" t="s">
        <v>25</v>
      </c>
      <c r="D485" s="60" t="s">
        <v>19</v>
      </c>
      <c r="E485" s="60" t="s">
        <v>25</v>
      </c>
      <c r="F485" s="60" t="s">
        <v>19</v>
      </c>
      <c r="G485" s="60" t="s">
        <v>22</v>
      </c>
      <c r="H485" s="60" t="s">
        <v>20</v>
      </c>
      <c r="I485" s="60" t="s">
        <v>25</v>
      </c>
      <c r="J485" s="60" t="s">
        <v>19</v>
      </c>
      <c r="K485" s="60" t="s">
        <v>19</v>
      </c>
      <c r="L485" s="60" t="s">
        <v>23</v>
      </c>
      <c r="M485" s="60" t="s">
        <v>20</v>
      </c>
      <c r="N485" s="60" t="s">
        <v>19</v>
      </c>
      <c r="O485" s="60" t="s">
        <v>22</v>
      </c>
      <c r="P485" s="60" t="s">
        <v>22</v>
      </c>
      <c r="Q485" s="60" t="s">
        <v>19</v>
      </c>
      <c r="R485" s="169"/>
      <c r="S485" s="62" t="s">
        <v>0</v>
      </c>
      <c r="T485" s="1">
        <f t="shared" ref="T485:Y485" si="67">284.7-29.7</f>
        <v>255</v>
      </c>
      <c r="U485" s="1">
        <f>284.7-29.7+24.6</f>
        <v>279.60000000000002</v>
      </c>
      <c r="V485" s="1">
        <f>284.7-29.7+27.8</f>
        <v>282.8</v>
      </c>
      <c r="W485" s="1">
        <f>284.7-29.7+24.8</f>
        <v>279.8</v>
      </c>
      <c r="X485" s="1">
        <f t="shared" si="67"/>
        <v>255</v>
      </c>
      <c r="Y485" s="1">
        <f t="shared" si="67"/>
        <v>255</v>
      </c>
      <c r="Z485" s="66">
        <f t="shared" si="63"/>
        <v>1607.2</v>
      </c>
      <c r="AA485" s="65">
        <v>2023</v>
      </c>
      <c r="AB485" s="131"/>
    </row>
    <row r="486" spans="1:30" ht="47.25" x14ac:dyDescent="0.25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68" t="s">
        <v>170</v>
      </c>
      <c r="S486" s="144" t="s">
        <v>52</v>
      </c>
      <c r="T486" s="2">
        <v>82</v>
      </c>
      <c r="U486" s="2">
        <v>82</v>
      </c>
      <c r="V486" s="2">
        <v>82</v>
      </c>
      <c r="W486" s="2">
        <v>82</v>
      </c>
      <c r="X486" s="2">
        <v>82</v>
      </c>
      <c r="Y486" s="2">
        <v>82</v>
      </c>
      <c r="Z486" s="55">
        <f t="shared" si="63"/>
        <v>492</v>
      </c>
      <c r="AA486" s="44">
        <v>2023</v>
      </c>
      <c r="AB486" s="34"/>
    </row>
    <row r="487" spans="1:30" ht="5.25" hidden="1" customHeight="1" x14ac:dyDescent="0.25">
      <c r="A487" s="60" t="s">
        <v>19</v>
      </c>
      <c r="B487" s="60" t="s">
        <v>19</v>
      </c>
      <c r="C487" s="60" t="s">
        <v>22</v>
      </c>
      <c r="D487" s="60" t="s">
        <v>19</v>
      </c>
      <c r="E487" s="60" t="s">
        <v>22</v>
      </c>
      <c r="F487" s="60" t="s">
        <v>19</v>
      </c>
      <c r="G487" s="60" t="s">
        <v>23</v>
      </c>
      <c r="H487" s="60" t="s">
        <v>19</v>
      </c>
      <c r="I487" s="60" t="s">
        <v>24</v>
      </c>
      <c r="J487" s="60" t="s">
        <v>19</v>
      </c>
      <c r="K487" s="60" t="s">
        <v>19</v>
      </c>
      <c r="L487" s="60" t="s">
        <v>21</v>
      </c>
      <c r="M487" s="60" t="s">
        <v>20</v>
      </c>
      <c r="N487" s="60" t="s">
        <v>19</v>
      </c>
      <c r="O487" s="60" t="s">
        <v>22</v>
      </c>
      <c r="P487" s="60" t="s">
        <v>22</v>
      </c>
      <c r="Q487" s="60" t="s">
        <v>19</v>
      </c>
      <c r="R487" s="167" t="s">
        <v>168</v>
      </c>
      <c r="S487" s="62" t="s">
        <v>0</v>
      </c>
      <c r="T487" s="1">
        <f t="shared" ref="T487:Y487" si="68">398.8-22.7</f>
        <v>376.1</v>
      </c>
      <c r="U487" s="1">
        <f t="shared" si="68"/>
        <v>376.1</v>
      </c>
      <c r="V487" s="1">
        <f t="shared" si="68"/>
        <v>376.1</v>
      </c>
      <c r="W487" s="1">
        <f t="shared" si="68"/>
        <v>376.1</v>
      </c>
      <c r="X487" s="1">
        <f t="shared" si="68"/>
        <v>376.1</v>
      </c>
      <c r="Y487" s="1">
        <f t="shared" si="68"/>
        <v>376.1</v>
      </c>
      <c r="Z487" s="66">
        <f t="shared" si="63"/>
        <v>2256.6</v>
      </c>
      <c r="AA487" s="44">
        <v>2023</v>
      </c>
      <c r="AB487" s="34"/>
    </row>
    <row r="488" spans="1:30" ht="35.450000000000003" customHeight="1" x14ac:dyDescent="0.25">
      <c r="A488" s="60" t="s">
        <v>19</v>
      </c>
      <c r="B488" s="60" t="s">
        <v>19</v>
      </c>
      <c r="C488" s="60" t="s">
        <v>22</v>
      </c>
      <c r="D488" s="60" t="s">
        <v>19</v>
      </c>
      <c r="E488" s="60" t="s">
        <v>25</v>
      </c>
      <c r="F488" s="60" t="s">
        <v>19</v>
      </c>
      <c r="G488" s="60" t="s">
        <v>22</v>
      </c>
      <c r="H488" s="60" t="s">
        <v>20</v>
      </c>
      <c r="I488" s="60" t="s">
        <v>25</v>
      </c>
      <c r="J488" s="60" t="s">
        <v>19</v>
      </c>
      <c r="K488" s="60" t="s">
        <v>19</v>
      </c>
      <c r="L488" s="60" t="s">
        <v>23</v>
      </c>
      <c r="M488" s="60" t="s">
        <v>20</v>
      </c>
      <c r="N488" s="60" t="s">
        <v>19</v>
      </c>
      <c r="O488" s="60" t="s">
        <v>22</v>
      </c>
      <c r="P488" s="60" t="s">
        <v>22</v>
      </c>
      <c r="Q488" s="60" t="s">
        <v>19</v>
      </c>
      <c r="R488" s="169"/>
      <c r="S488" s="62" t="s">
        <v>0</v>
      </c>
      <c r="T488" s="1">
        <f t="shared" ref="T488:Y488" si="69">376.1+59.3</f>
        <v>435.40000000000003</v>
      </c>
      <c r="U488" s="1">
        <f>376.1+59.3+42</f>
        <v>477.40000000000003</v>
      </c>
      <c r="V488" s="1">
        <f>376.1+59.3+47.5</f>
        <v>482.90000000000003</v>
      </c>
      <c r="W488" s="1">
        <f>376.1+59.3+42.4</f>
        <v>477.8</v>
      </c>
      <c r="X488" s="1">
        <f t="shared" si="69"/>
        <v>435.40000000000003</v>
      </c>
      <c r="Y488" s="1">
        <f t="shared" si="69"/>
        <v>435.40000000000003</v>
      </c>
      <c r="Z488" s="66">
        <f t="shared" si="63"/>
        <v>2744.3</v>
      </c>
      <c r="AA488" s="65">
        <v>2023</v>
      </c>
      <c r="AB488" s="34"/>
    </row>
    <row r="489" spans="1:30" ht="47.25" x14ac:dyDescent="0.25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68" t="s">
        <v>171</v>
      </c>
      <c r="S489" s="144" t="s">
        <v>52</v>
      </c>
      <c r="T489" s="2">
        <v>140</v>
      </c>
      <c r="U489" s="2">
        <v>140</v>
      </c>
      <c r="V489" s="2">
        <v>140</v>
      </c>
      <c r="W489" s="2">
        <v>140</v>
      </c>
      <c r="X489" s="2">
        <v>135</v>
      </c>
      <c r="Y489" s="2">
        <v>135</v>
      </c>
      <c r="Z489" s="48">
        <f t="shared" si="63"/>
        <v>830</v>
      </c>
      <c r="AA489" s="44">
        <v>2023</v>
      </c>
      <c r="AB489" s="34"/>
    </row>
    <row r="490" spans="1:30" ht="35.25" hidden="1" customHeight="1" x14ac:dyDescent="0.25">
      <c r="A490" s="60" t="s">
        <v>19</v>
      </c>
      <c r="B490" s="60" t="s">
        <v>19</v>
      </c>
      <c r="C490" s="60" t="s">
        <v>26</v>
      </c>
      <c r="D490" s="60" t="s">
        <v>19</v>
      </c>
      <c r="E490" s="60" t="s">
        <v>22</v>
      </c>
      <c r="F490" s="60" t="s">
        <v>19</v>
      </c>
      <c r="G490" s="60" t="s">
        <v>23</v>
      </c>
      <c r="H490" s="60" t="s">
        <v>19</v>
      </c>
      <c r="I490" s="60" t="s">
        <v>24</v>
      </c>
      <c r="J490" s="60" t="s">
        <v>19</v>
      </c>
      <c r="K490" s="60" t="s">
        <v>19</v>
      </c>
      <c r="L490" s="60" t="s">
        <v>21</v>
      </c>
      <c r="M490" s="60" t="s">
        <v>20</v>
      </c>
      <c r="N490" s="60" t="s">
        <v>19</v>
      </c>
      <c r="O490" s="60" t="s">
        <v>22</v>
      </c>
      <c r="P490" s="60" t="s">
        <v>22</v>
      </c>
      <c r="Q490" s="60" t="s">
        <v>19</v>
      </c>
      <c r="R490" s="167" t="s">
        <v>168</v>
      </c>
      <c r="S490" s="62" t="s">
        <v>0</v>
      </c>
      <c r="T490" s="1">
        <f t="shared" ref="T490:Y490" si="70">214.1-12.2</f>
        <v>201.9</v>
      </c>
      <c r="U490" s="1">
        <f t="shared" si="70"/>
        <v>201.9</v>
      </c>
      <c r="V490" s="1">
        <f t="shared" si="70"/>
        <v>201.9</v>
      </c>
      <c r="W490" s="1">
        <f t="shared" si="70"/>
        <v>201.9</v>
      </c>
      <c r="X490" s="1">
        <f t="shared" si="70"/>
        <v>201.9</v>
      </c>
      <c r="Y490" s="1">
        <f t="shared" si="70"/>
        <v>201.9</v>
      </c>
      <c r="Z490" s="66">
        <f t="shared" si="63"/>
        <v>1211.4000000000001</v>
      </c>
      <c r="AA490" s="44">
        <v>2023</v>
      </c>
    </row>
    <row r="491" spans="1:30" ht="32.450000000000003" customHeight="1" x14ac:dyDescent="0.25">
      <c r="A491" s="60" t="s">
        <v>19</v>
      </c>
      <c r="B491" s="60" t="s">
        <v>19</v>
      </c>
      <c r="C491" s="60" t="s">
        <v>26</v>
      </c>
      <c r="D491" s="60" t="s">
        <v>19</v>
      </c>
      <c r="E491" s="60" t="s">
        <v>25</v>
      </c>
      <c r="F491" s="60" t="s">
        <v>19</v>
      </c>
      <c r="G491" s="60" t="s">
        <v>22</v>
      </c>
      <c r="H491" s="60" t="s">
        <v>20</v>
      </c>
      <c r="I491" s="60" t="s">
        <v>25</v>
      </c>
      <c r="J491" s="60" t="s">
        <v>19</v>
      </c>
      <c r="K491" s="60" t="s">
        <v>19</v>
      </c>
      <c r="L491" s="60" t="s">
        <v>23</v>
      </c>
      <c r="M491" s="60" t="s">
        <v>20</v>
      </c>
      <c r="N491" s="60" t="s">
        <v>19</v>
      </c>
      <c r="O491" s="60" t="s">
        <v>22</v>
      </c>
      <c r="P491" s="60" t="s">
        <v>22</v>
      </c>
      <c r="Q491" s="60" t="s">
        <v>19</v>
      </c>
      <c r="R491" s="169"/>
      <c r="S491" s="62" t="s">
        <v>0</v>
      </c>
      <c r="T491" s="1">
        <f>201.9+15.8</f>
        <v>217.70000000000002</v>
      </c>
      <c r="U491" s="1">
        <f>201.9+15.8+1.7+19.3</f>
        <v>238.70000000000002</v>
      </c>
      <c r="V491" s="1">
        <f>201.9+15.8+1.7+22.1</f>
        <v>241.5</v>
      </c>
      <c r="W491" s="1">
        <f>201.9+15.8+1.7+19.5</f>
        <v>238.9</v>
      </c>
      <c r="X491" s="1">
        <f>201.9+15.8+1.7</f>
        <v>219.4</v>
      </c>
      <c r="Y491" s="1">
        <f>201.9+15.8+1.7</f>
        <v>219.4</v>
      </c>
      <c r="Z491" s="66">
        <f t="shared" si="63"/>
        <v>1375.6000000000001</v>
      </c>
      <c r="AA491" s="65">
        <v>2023</v>
      </c>
      <c r="AB491" s="34"/>
    </row>
    <row r="492" spans="1:30" ht="49.5" hidden="1" customHeight="1" x14ac:dyDescent="0.25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3" t="s">
        <v>172</v>
      </c>
      <c r="S492" s="44" t="s">
        <v>8</v>
      </c>
      <c r="T492" s="2">
        <v>56</v>
      </c>
      <c r="U492" s="2">
        <v>56</v>
      </c>
      <c r="V492" s="2">
        <v>56</v>
      </c>
      <c r="W492" s="2">
        <v>56</v>
      </c>
      <c r="X492" s="2">
        <v>56</v>
      </c>
      <c r="Y492" s="2">
        <v>56</v>
      </c>
      <c r="Z492" s="55">
        <f t="shared" si="63"/>
        <v>336</v>
      </c>
      <c r="AA492" s="62">
        <v>2020</v>
      </c>
    </row>
    <row r="493" spans="1:30" ht="64.5" hidden="1" customHeight="1" x14ac:dyDescent="0.25">
      <c r="A493" s="60" t="s">
        <v>19</v>
      </c>
      <c r="B493" s="60" t="s">
        <v>20</v>
      </c>
      <c r="C493" s="60" t="s">
        <v>25</v>
      </c>
      <c r="D493" s="60" t="s">
        <v>19</v>
      </c>
      <c r="E493" s="60" t="s">
        <v>22</v>
      </c>
      <c r="F493" s="60" t="s">
        <v>19</v>
      </c>
      <c r="G493" s="60" t="s">
        <v>23</v>
      </c>
      <c r="H493" s="60" t="s">
        <v>19</v>
      </c>
      <c r="I493" s="60" t="s">
        <v>24</v>
      </c>
      <c r="J493" s="60" t="s">
        <v>19</v>
      </c>
      <c r="K493" s="60" t="s">
        <v>19</v>
      </c>
      <c r="L493" s="60" t="s">
        <v>23</v>
      </c>
      <c r="M493" s="60" t="s">
        <v>19</v>
      </c>
      <c r="N493" s="60" t="s">
        <v>23</v>
      </c>
      <c r="O493" s="60" t="s">
        <v>23</v>
      </c>
      <c r="P493" s="60" t="s">
        <v>19</v>
      </c>
      <c r="Q493" s="60" t="s">
        <v>23</v>
      </c>
      <c r="R493" s="75" t="s">
        <v>173</v>
      </c>
      <c r="S493" s="62" t="s">
        <v>0</v>
      </c>
      <c r="T493" s="1"/>
      <c r="U493" s="1"/>
      <c r="V493" s="1"/>
      <c r="W493" s="1"/>
      <c r="X493" s="1"/>
      <c r="Y493" s="1"/>
      <c r="Z493" s="66">
        <f>T493+U493+V493+W493+X493+Y493</f>
        <v>0</v>
      </c>
      <c r="AA493" s="144">
        <v>2020</v>
      </c>
    </row>
    <row r="494" spans="1:30" ht="47.25" x14ac:dyDescent="0.25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68" t="s">
        <v>172</v>
      </c>
      <c r="S494" s="144" t="s">
        <v>52</v>
      </c>
      <c r="T494" s="47">
        <v>70</v>
      </c>
      <c r="U494" s="47">
        <v>70</v>
      </c>
      <c r="V494" s="47">
        <v>70</v>
      </c>
      <c r="W494" s="47">
        <v>70</v>
      </c>
      <c r="X494" s="47">
        <v>68</v>
      </c>
      <c r="Y494" s="47">
        <v>68</v>
      </c>
      <c r="Z494" s="48">
        <f>T494+U494+V494+W494+X494+Y494</f>
        <v>416</v>
      </c>
      <c r="AA494" s="44">
        <v>2023</v>
      </c>
      <c r="AB494" s="34"/>
    </row>
    <row r="495" spans="1:30" s="142" customFormat="1" ht="47.25" x14ac:dyDescent="0.25">
      <c r="A495" s="60" t="s">
        <v>19</v>
      </c>
      <c r="B495" s="60" t="s">
        <v>20</v>
      </c>
      <c r="C495" s="60" t="s">
        <v>21</v>
      </c>
      <c r="D495" s="60" t="s">
        <v>19</v>
      </c>
      <c r="E495" s="60" t="s">
        <v>25</v>
      </c>
      <c r="F495" s="60" t="s">
        <v>19</v>
      </c>
      <c r="G495" s="60" t="s">
        <v>22</v>
      </c>
      <c r="H495" s="60" t="s">
        <v>20</v>
      </c>
      <c r="I495" s="60" t="s">
        <v>25</v>
      </c>
      <c r="J495" s="60" t="s">
        <v>19</v>
      </c>
      <c r="K495" s="60" t="s">
        <v>19</v>
      </c>
      <c r="L495" s="60" t="s">
        <v>23</v>
      </c>
      <c r="M495" s="60" t="s">
        <v>19</v>
      </c>
      <c r="N495" s="60" t="s">
        <v>19</v>
      </c>
      <c r="O495" s="60" t="s">
        <v>19</v>
      </c>
      <c r="P495" s="60" t="s">
        <v>19</v>
      </c>
      <c r="Q495" s="60" t="s">
        <v>19</v>
      </c>
      <c r="R495" s="75" t="s">
        <v>330</v>
      </c>
      <c r="S495" s="62" t="s">
        <v>0</v>
      </c>
      <c r="T495" s="1">
        <v>0</v>
      </c>
      <c r="U495" s="1">
        <v>6000</v>
      </c>
      <c r="V495" s="1">
        <v>0</v>
      </c>
      <c r="W495" s="1">
        <v>0</v>
      </c>
      <c r="X495" s="1">
        <v>0</v>
      </c>
      <c r="Y495" s="1">
        <v>0</v>
      </c>
      <c r="Z495" s="66">
        <f>SUM(T495:Y495)</f>
        <v>6000</v>
      </c>
      <c r="AA495" s="62">
        <v>2019</v>
      </c>
      <c r="AB495" s="141"/>
    </row>
    <row r="496" spans="1:30" ht="47.25" x14ac:dyDescent="0.25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68" t="s">
        <v>332</v>
      </c>
      <c r="S496" s="144" t="s">
        <v>331</v>
      </c>
      <c r="T496" s="47">
        <v>0</v>
      </c>
      <c r="U496" s="47">
        <v>247</v>
      </c>
      <c r="V496" s="47">
        <v>0</v>
      </c>
      <c r="W496" s="47">
        <v>0</v>
      </c>
      <c r="X496" s="47">
        <v>0</v>
      </c>
      <c r="Y496" s="47">
        <v>0</v>
      </c>
      <c r="Z496" s="55">
        <f>SUM(T496:Y496)</f>
        <v>247</v>
      </c>
      <c r="AA496" s="44">
        <v>2019</v>
      </c>
      <c r="AB496" s="34"/>
    </row>
    <row r="497" spans="1:32" ht="49.15" customHeight="1" x14ac:dyDescent="0.25">
      <c r="A497" s="60"/>
      <c r="B497" s="60"/>
      <c r="C497" s="60"/>
      <c r="D497" s="60" t="s">
        <v>19</v>
      </c>
      <c r="E497" s="60" t="s">
        <v>22</v>
      </c>
      <c r="F497" s="60" t="s">
        <v>19</v>
      </c>
      <c r="G497" s="60" t="s">
        <v>23</v>
      </c>
      <c r="H497" s="60" t="s">
        <v>20</v>
      </c>
      <c r="I497" s="60" t="s">
        <v>25</v>
      </c>
      <c r="J497" s="60" t="s">
        <v>19</v>
      </c>
      <c r="K497" s="60" t="s">
        <v>19</v>
      </c>
      <c r="L497" s="60" t="s">
        <v>23</v>
      </c>
      <c r="M497" s="60" t="s">
        <v>19</v>
      </c>
      <c r="N497" s="60" t="s">
        <v>19</v>
      </c>
      <c r="O497" s="60" t="s">
        <v>19</v>
      </c>
      <c r="P497" s="60" t="s">
        <v>19</v>
      </c>
      <c r="Q497" s="60" t="s">
        <v>19</v>
      </c>
      <c r="R497" s="75" t="s">
        <v>174</v>
      </c>
      <c r="S497" s="65" t="s">
        <v>0</v>
      </c>
      <c r="T497" s="66">
        <f t="shared" ref="T497:Z498" si="71">T499+T501+T503+T505</f>
        <v>69.999999999999986</v>
      </c>
      <c r="U497" s="66">
        <f t="shared" si="71"/>
        <v>119.6</v>
      </c>
      <c r="V497" s="66">
        <f t="shared" si="71"/>
        <v>119.6</v>
      </c>
      <c r="W497" s="66">
        <f t="shared" si="71"/>
        <v>119.6</v>
      </c>
      <c r="X497" s="66">
        <f t="shared" si="71"/>
        <v>119.6</v>
      </c>
      <c r="Y497" s="66">
        <f t="shared" si="71"/>
        <v>119.6</v>
      </c>
      <c r="Z497" s="66">
        <f t="shared" si="71"/>
        <v>668</v>
      </c>
      <c r="AA497" s="65">
        <v>2023</v>
      </c>
      <c r="AB497" s="131"/>
    </row>
    <row r="498" spans="1:32" ht="64.900000000000006" customHeight="1" x14ac:dyDescent="0.25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68" t="s">
        <v>175</v>
      </c>
      <c r="S498" s="144" t="s">
        <v>39</v>
      </c>
      <c r="T498" s="47">
        <f t="shared" si="71"/>
        <v>27</v>
      </c>
      <c r="U498" s="47">
        <f t="shared" si="71"/>
        <v>41</v>
      </c>
      <c r="V498" s="47">
        <f t="shared" si="71"/>
        <v>41</v>
      </c>
      <c r="W498" s="47">
        <f t="shared" si="71"/>
        <v>41</v>
      </c>
      <c r="X498" s="47">
        <f t="shared" si="71"/>
        <v>41</v>
      </c>
      <c r="Y498" s="47">
        <f t="shared" si="71"/>
        <v>41</v>
      </c>
      <c r="Z498" s="48">
        <f t="shared" ref="Z498:Z506" si="72">T498+U498+V498+W498+X498+Y498</f>
        <v>232</v>
      </c>
      <c r="AA498" s="44">
        <v>2023</v>
      </c>
      <c r="AB498" s="34"/>
    </row>
    <row r="499" spans="1:32" ht="52.15" customHeight="1" x14ac:dyDescent="0.25">
      <c r="A499" s="60" t="s">
        <v>19</v>
      </c>
      <c r="B499" s="60" t="s">
        <v>19</v>
      </c>
      <c r="C499" s="60" t="s">
        <v>23</v>
      </c>
      <c r="D499" s="60" t="s">
        <v>19</v>
      </c>
      <c r="E499" s="60" t="s">
        <v>22</v>
      </c>
      <c r="F499" s="60" t="s">
        <v>19</v>
      </c>
      <c r="G499" s="60" t="s">
        <v>23</v>
      </c>
      <c r="H499" s="60" t="s">
        <v>20</v>
      </c>
      <c r="I499" s="60" t="s">
        <v>25</v>
      </c>
      <c r="J499" s="60" t="s">
        <v>19</v>
      </c>
      <c r="K499" s="60" t="s">
        <v>19</v>
      </c>
      <c r="L499" s="60" t="s">
        <v>23</v>
      </c>
      <c r="M499" s="60" t="s">
        <v>19</v>
      </c>
      <c r="N499" s="60" t="s">
        <v>19</v>
      </c>
      <c r="O499" s="60" t="s">
        <v>19</v>
      </c>
      <c r="P499" s="60" t="s">
        <v>19</v>
      </c>
      <c r="Q499" s="60" t="s">
        <v>19</v>
      </c>
      <c r="R499" s="75" t="s">
        <v>176</v>
      </c>
      <c r="S499" s="62" t="s">
        <v>0</v>
      </c>
      <c r="T499" s="1">
        <f>18.2-1.8-10.9</f>
        <v>5.4999999999999982</v>
      </c>
      <c r="U499" s="1">
        <v>18.2</v>
      </c>
      <c r="V499" s="1">
        <v>18.2</v>
      </c>
      <c r="W499" s="1">
        <v>18.2</v>
      </c>
      <c r="X499" s="1">
        <v>18.2</v>
      </c>
      <c r="Y499" s="1">
        <v>18.2</v>
      </c>
      <c r="Z499" s="66">
        <f t="shared" si="72"/>
        <v>96.5</v>
      </c>
      <c r="AA499" s="65">
        <v>2023</v>
      </c>
      <c r="AB499" s="131"/>
    </row>
    <row r="500" spans="1:32" ht="66" customHeight="1" x14ac:dyDescent="0.25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68" t="s">
        <v>177</v>
      </c>
      <c r="S500" s="144" t="s">
        <v>39</v>
      </c>
      <c r="T500" s="89">
        <v>2</v>
      </c>
      <c r="U500" s="89">
        <v>6</v>
      </c>
      <c r="V500" s="89">
        <v>6</v>
      </c>
      <c r="W500" s="89">
        <v>6</v>
      </c>
      <c r="X500" s="89">
        <v>6</v>
      </c>
      <c r="Y500" s="89">
        <v>6</v>
      </c>
      <c r="Z500" s="108">
        <f t="shared" si="72"/>
        <v>32</v>
      </c>
      <c r="AA500" s="44">
        <v>2023</v>
      </c>
      <c r="AB500" s="34"/>
    </row>
    <row r="501" spans="1:32" ht="51" customHeight="1" x14ac:dyDescent="0.25">
      <c r="A501" s="60" t="s">
        <v>19</v>
      </c>
      <c r="B501" s="60" t="s">
        <v>19</v>
      </c>
      <c r="C501" s="60" t="s">
        <v>25</v>
      </c>
      <c r="D501" s="60" t="s">
        <v>19</v>
      </c>
      <c r="E501" s="60" t="s">
        <v>22</v>
      </c>
      <c r="F501" s="60" t="s">
        <v>19</v>
      </c>
      <c r="G501" s="60" t="s">
        <v>23</v>
      </c>
      <c r="H501" s="60" t="s">
        <v>20</v>
      </c>
      <c r="I501" s="60" t="s">
        <v>25</v>
      </c>
      <c r="J501" s="60" t="s">
        <v>19</v>
      </c>
      <c r="K501" s="60" t="s">
        <v>19</v>
      </c>
      <c r="L501" s="60" t="s">
        <v>23</v>
      </c>
      <c r="M501" s="60" t="s">
        <v>19</v>
      </c>
      <c r="N501" s="60" t="s">
        <v>19</v>
      </c>
      <c r="O501" s="60" t="s">
        <v>19</v>
      </c>
      <c r="P501" s="60" t="s">
        <v>19</v>
      </c>
      <c r="Q501" s="60" t="s">
        <v>19</v>
      </c>
      <c r="R501" s="75" t="s">
        <v>176</v>
      </c>
      <c r="S501" s="62" t="s">
        <v>0</v>
      </c>
      <c r="T501" s="1">
        <f>72.8-43.1</f>
        <v>29.699999999999996</v>
      </c>
      <c r="U501" s="1">
        <v>31.8</v>
      </c>
      <c r="V501" s="1">
        <v>31.8</v>
      </c>
      <c r="W501" s="1">
        <v>31.8</v>
      </c>
      <c r="X501" s="1">
        <v>31.8</v>
      </c>
      <c r="Y501" s="1">
        <v>31.8</v>
      </c>
      <c r="Z501" s="66">
        <f t="shared" si="72"/>
        <v>188.70000000000002</v>
      </c>
      <c r="AA501" s="65">
        <v>2023</v>
      </c>
      <c r="AB501" s="131"/>
    </row>
    <row r="502" spans="1:32" ht="64.900000000000006" customHeight="1" x14ac:dyDescent="0.25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68" t="s">
        <v>178</v>
      </c>
      <c r="S502" s="144" t="s">
        <v>39</v>
      </c>
      <c r="T502" s="89">
        <v>10</v>
      </c>
      <c r="U502" s="89">
        <v>11</v>
      </c>
      <c r="V502" s="89">
        <v>11</v>
      </c>
      <c r="W502" s="89">
        <v>11</v>
      </c>
      <c r="X502" s="89">
        <v>11</v>
      </c>
      <c r="Y502" s="89">
        <v>11</v>
      </c>
      <c r="Z502" s="108">
        <f t="shared" si="72"/>
        <v>65</v>
      </c>
      <c r="AA502" s="44">
        <v>2023</v>
      </c>
      <c r="AB502" s="34"/>
    </row>
    <row r="503" spans="1:32" ht="51" customHeight="1" x14ac:dyDescent="0.25">
      <c r="A503" s="60" t="s">
        <v>19</v>
      </c>
      <c r="B503" s="60" t="s">
        <v>19</v>
      </c>
      <c r="C503" s="60" t="s">
        <v>22</v>
      </c>
      <c r="D503" s="60" t="s">
        <v>19</v>
      </c>
      <c r="E503" s="60" t="s">
        <v>22</v>
      </c>
      <c r="F503" s="60" t="s">
        <v>19</v>
      </c>
      <c r="G503" s="60" t="s">
        <v>23</v>
      </c>
      <c r="H503" s="60" t="s">
        <v>20</v>
      </c>
      <c r="I503" s="60" t="s">
        <v>25</v>
      </c>
      <c r="J503" s="60" t="s">
        <v>19</v>
      </c>
      <c r="K503" s="60" t="s">
        <v>19</v>
      </c>
      <c r="L503" s="60" t="s">
        <v>23</v>
      </c>
      <c r="M503" s="60" t="s">
        <v>19</v>
      </c>
      <c r="N503" s="60" t="s">
        <v>19</v>
      </c>
      <c r="O503" s="60" t="s">
        <v>19</v>
      </c>
      <c r="P503" s="60" t="s">
        <v>19</v>
      </c>
      <c r="Q503" s="60" t="s">
        <v>19</v>
      </c>
      <c r="R503" s="75" t="s">
        <v>179</v>
      </c>
      <c r="S503" s="62" t="s">
        <v>0</v>
      </c>
      <c r="T503" s="70">
        <f>36.4-4.4</f>
        <v>32</v>
      </c>
      <c r="U503" s="70">
        <v>34.6</v>
      </c>
      <c r="V503" s="70">
        <v>34.6</v>
      </c>
      <c r="W503" s="70">
        <v>34.6</v>
      </c>
      <c r="X503" s="70">
        <v>34.6</v>
      </c>
      <c r="Y503" s="70">
        <v>34.6</v>
      </c>
      <c r="Z503" s="66">
        <f t="shared" si="72"/>
        <v>204.99999999999997</v>
      </c>
      <c r="AA503" s="65">
        <v>2023</v>
      </c>
      <c r="AB503" s="130"/>
      <c r="AC503" s="112"/>
    </row>
    <row r="504" spans="1:32" ht="64.900000000000006" customHeight="1" x14ac:dyDescent="0.25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68" t="s">
        <v>180</v>
      </c>
      <c r="S504" s="144" t="s">
        <v>39</v>
      </c>
      <c r="T504" s="89">
        <v>14</v>
      </c>
      <c r="U504" s="89">
        <v>12</v>
      </c>
      <c r="V504" s="89">
        <v>12</v>
      </c>
      <c r="W504" s="89">
        <v>12</v>
      </c>
      <c r="X504" s="89">
        <v>12</v>
      </c>
      <c r="Y504" s="89">
        <v>12</v>
      </c>
      <c r="Z504" s="109">
        <f t="shared" si="72"/>
        <v>74</v>
      </c>
      <c r="AA504" s="44">
        <v>2023</v>
      </c>
      <c r="AB504" s="34"/>
    </row>
    <row r="505" spans="1:32" ht="52.9" customHeight="1" x14ac:dyDescent="0.25">
      <c r="A505" s="60" t="s">
        <v>19</v>
      </c>
      <c r="B505" s="60" t="s">
        <v>19</v>
      </c>
      <c r="C505" s="60" t="s">
        <v>26</v>
      </c>
      <c r="D505" s="60" t="s">
        <v>19</v>
      </c>
      <c r="E505" s="60" t="s">
        <v>22</v>
      </c>
      <c r="F505" s="60" t="s">
        <v>19</v>
      </c>
      <c r="G505" s="60" t="s">
        <v>23</v>
      </c>
      <c r="H505" s="60" t="s">
        <v>20</v>
      </c>
      <c r="I505" s="60" t="s">
        <v>25</v>
      </c>
      <c r="J505" s="60" t="s">
        <v>19</v>
      </c>
      <c r="K505" s="60" t="s">
        <v>19</v>
      </c>
      <c r="L505" s="60" t="s">
        <v>23</v>
      </c>
      <c r="M505" s="60" t="s">
        <v>19</v>
      </c>
      <c r="N505" s="60" t="s">
        <v>19</v>
      </c>
      <c r="O505" s="60" t="s">
        <v>19</v>
      </c>
      <c r="P505" s="60" t="s">
        <v>19</v>
      </c>
      <c r="Q505" s="60" t="s">
        <v>19</v>
      </c>
      <c r="R505" s="75" t="s">
        <v>176</v>
      </c>
      <c r="S505" s="62" t="s">
        <v>0</v>
      </c>
      <c r="T505" s="1">
        <f>35-32.2</f>
        <v>2.7999999999999972</v>
      </c>
      <c r="U505" s="1">
        <v>35</v>
      </c>
      <c r="V505" s="1">
        <v>35</v>
      </c>
      <c r="W505" s="1">
        <v>35</v>
      </c>
      <c r="X505" s="1">
        <v>35</v>
      </c>
      <c r="Y505" s="1">
        <v>35</v>
      </c>
      <c r="Z505" s="66">
        <f t="shared" si="72"/>
        <v>177.8</v>
      </c>
      <c r="AA505" s="65">
        <v>2023</v>
      </c>
      <c r="AB505" s="34"/>
    </row>
    <row r="506" spans="1:32" ht="65.45" customHeight="1" x14ac:dyDescent="0.25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68" t="s">
        <v>181</v>
      </c>
      <c r="S506" s="144" t="s">
        <v>39</v>
      </c>
      <c r="T506" s="44">
        <v>1</v>
      </c>
      <c r="U506" s="44">
        <v>12</v>
      </c>
      <c r="V506" s="44">
        <v>12</v>
      </c>
      <c r="W506" s="44">
        <v>12</v>
      </c>
      <c r="X506" s="44">
        <v>12</v>
      </c>
      <c r="Y506" s="44">
        <v>12</v>
      </c>
      <c r="Z506" s="55">
        <f t="shared" si="72"/>
        <v>61</v>
      </c>
      <c r="AA506" s="44">
        <v>2023</v>
      </c>
      <c r="AB506" s="34"/>
    </row>
    <row r="507" spans="1:32" ht="34.15" hidden="1" customHeight="1" x14ac:dyDescent="0.25">
      <c r="A507" s="60" t="s">
        <v>19</v>
      </c>
      <c r="B507" s="60" t="s">
        <v>19</v>
      </c>
      <c r="C507" s="60" t="s">
        <v>24</v>
      </c>
      <c r="D507" s="60" t="s">
        <v>19</v>
      </c>
      <c r="E507" s="60" t="s">
        <v>22</v>
      </c>
      <c r="F507" s="60" t="s">
        <v>19</v>
      </c>
      <c r="G507" s="60" t="s">
        <v>23</v>
      </c>
      <c r="H507" s="60" t="s">
        <v>19</v>
      </c>
      <c r="I507" s="60" t="s">
        <v>24</v>
      </c>
      <c r="J507" s="60" t="s">
        <v>19</v>
      </c>
      <c r="K507" s="60" t="s">
        <v>19</v>
      </c>
      <c r="L507" s="60" t="s">
        <v>21</v>
      </c>
      <c r="M507" s="60" t="s">
        <v>19</v>
      </c>
      <c r="N507" s="60" t="s">
        <v>19</v>
      </c>
      <c r="O507" s="60" t="s">
        <v>19</v>
      </c>
      <c r="P507" s="60" t="s">
        <v>19</v>
      </c>
      <c r="Q507" s="60" t="s">
        <v>21</v>
      </c>
      <c r="R507" s="76" t="s">
        <v>182</v>
      </c>
      <c r="S507" s="62" t="s">
        <v>0</v>
      </c>
      <c r="T507" s="1">
        <v>0</v>
      </c>
      <c r="U507" s="1">
        <v>0</v>
      </c>
      <c r="V507" s="1">
        <v>0</v>
      </c>
      <c r="W507" s="1">
        <v>0</v>
      </c>
      <c r="X507" s="1">
        <v>0</v>
      </c>
      <c r="Y507" s="1">
        <v>0</v>
      </c>
      <c r="Z507" s="66">
        <f>T507+U507+V507+W507+X507+Y507</f>
        <v>0</v>
      </c>
      <c r="AA507" s="65">
        <v>2023</v>
      </c>
    </row>
    <row r="508" spans="1:32" ht="34.15" hidden="1" customHeight="1" x14ac:dyDescent="0.25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54" t="s">
        <v>53</v>
      </c>
      <c r="S508" s="44"/>
      <c r="T508" s="3"/>
      <c r="U508" s="3"/>
      <c r="V508" s="3"/>
      <c r="W508" s="3"/>
      <c r="X508" s="3"/>
      <c r="Y508" s="3"/>
      <c r="Z508" s="6"/>
      <c r="AA508" s="80"/>
    </row>
    <row r="509" spans="1:32" ht="55.9" customHeight="1" x14ac:dyDescent="0.25">
      <c r="A509" s="49"/>
      <c r="B509" s="49"/>
      <c r="C509" s="49"/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49"/>
      <c r="Q509" s="49"/>
      <c r="R509" s="82" t="s">
        <v>58</v>
      </c>
      <c r="S509" s="51" t="s">
        <v>0</v>
      </c>
      <c r="T509" s="52">
        <f t="shared" ref="T509:Y509" si="73">T511+T517+T520</f>
        <v>25348.3</v>
      </c>
      <c r="U509" s="52">
        <f t="shared" si="73"/>
        <v>38280.800000000003</v>
      </c>
      <c r="V509" s="52">
        <f t="shared" si="73"/>
        <v>25348.3</v>
      </c>
      <c r="W509" s="52">
        <f t="shared" si="73"/>
        <v>21505.8</v>
      </c>
      <c r="X509" s="52">
        <f t="shared" si="73"/>
        <v>31505.8</v>
      </c>
      <c r="Y509" s="52">
        <f t="shared" si="73"/>
        <v>31505.8</v>
      </c>
      <c r="Z509" s="52">
        <f>T509+U509+V509+W509+X509+Y509</f>
        <v>173494.8</v>
      </c>
      <c r="AA509" s="53">
        <v>2023</v>
      </c>
    </row>
    <row r="510" spans="1:32" ht="47.25" x14ac:dyDescent="0.25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101" t="s">
        <v>183</v>
      </c>
      <c r="S510" s="44" t="s">
        <v>35</v>
      </c>
      <c r="T510" s="90">
        <f>T512</f>
        <v>2224963</v>
      </c>
      <c r="U510" s="90">
        <f t="shared" ref="U510:Z510" si="74">U512</f>
        <v>2224963</v>
      </c>
      <c r="V510" s="90">
        <f t="shared" si="74"/>
        <v>2224963</v>
      </c>
      <c r="W510" s="90">
        <f t="shared" si="74"/>
        <v>2224963</v>
      </c>
      <c r="X510" s="90">
        <f t="shared" si="74"/>
        <v>2224963</v>
      </c>
      <c r="Y510" s="90">
        <f t="shared" si="74"/>
        <v>2224963</v>
      </c>
      <c r="Z510" s="91">
        <f t="shared" si="74"/>
        <v>2224963</v>
      </c>
      <c r="AA510" s="44">
        <v>2023</v>
      </c>
      <c r="AC510" s="12"/>
      <c r="AD510" s="12"/>
      <c r="AE510" s="12"/>
      <c r="AF510" s="12"/>
    </row>
    <row r="511" spans="1:32" ht="37.9" customHeight="1" x14ac:dyDescent="0.25">
      <c r="A511" s="60" t="s">
        <v>19</v>
      </c>
      <c r="B511" s="60" t="s">
        <v>20</v>
      </c>
      <c r="C511" s="60" t="s">
        <v>21</v>
      </c>
      <c r="D511" s="60" t="s">
        <v>19</v>
      </c>
      <c r="E511" s="60" t="s">
        <v>22</v>
      </c>
      <c r="F511" s="60" t="s">
        <v>19</v>
      </c>
      <c r="G511" s="60" t="s">
        <v>23</v>
      </c>
      <c r="H511" s="60" t="s">
        <v>20</v>
      </c>
      <c r="I511" s="60" t="s">
        <v>25</v>
      </c>
      <c r="J511" s="60" t="s">
        <v>19</v>
      </c>
      <c r="K511" s="60" t="s">
        <v>19</v>
      </c>
      <c r="L511" s="60" t="s">
        <v>25</v>
      </c>
      <c r="M511" s="60" t="s">
        <v>19</v>
      </c>
      <c r="N511" s="60" t="s">
        <v>19</v>
      </c>
      <c r="O511" s="60" t="s">
        <v>19</v>
      </c>
      <c r="P511" s="60" t="s">
        <v>19</v>
      </c>
      <c r="Q511" s="60" t="s">
        <v>19</v>
      </c>
      <c r="R511" s="61" t="s">
        <v>184</v>
      </c>
      <c r="S511" s="65" t="s">
        <v>0</v>
      </c>
      <c r="T511" s="66">
        <v>25348.3</v>
      </c>
      <c r="U511" s="66">
        <v>23600</v>
      </c>
      <c r="V511" s="66">
        <v>25348.3</v>
      </c>
      <c r="W511" s="66">
        <v>21505.8</v>
      </c>
      <c r="X511" s="66">
        <v>21505.8</v>
      </c>
      <c r="Y511" s="66">
        <v>21505.8</v>
      </c>
      <c r="Z511" s="66">
        <f>T511+U511+V511+W511+X511+Y511</f>
        <v>138814</v>
      </c>
      <c r="AA511" s="65">
        <v>2023</v>
      </c>
      <c r="AB511" s="34"/>
    </row>
    <row r="512" spans="1:32" ht="49.15" customHeight="1" x14ac:dyDescent="0.25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87" t="s">
        <v>185</v>
      </c>
      <c r="S512" s="144" t="s">
        <v>35</v>
      </c>
      <c r="T512" s="2">
        <f t="shared" ref="T512:Y512" si="75">2270800-45837</f>
        <v>2224963</v>
      </c>
      <c r="U512" s="2">
        <f t="shared" si="75"/>
        <v>2224963</v>
      </c>
      <c r="V512" s="2">
        <f t="shared" si="75"/>
        <v>2224963</v>
      </c>
      <c r="W512" s="2">
        <f t="shared" si="75"/>
        <v>2224963</v>
      </c>
      <c r="X512" s="2">
        <f t="shared" si="75"/>
        <v>2224963</v>
      </c>
      <c r="Y512" s="2">
        <f t="shared" si="75"/>
        <v>2224963</v>
      </c>
      <c r="Z512" s="48">
        <v>2224963</v>
      </c>
      <c r="AA512" s="44">
        <v>2023</v>
      </c>
      <c r="AB512" s="34"/>
    </row>
    <row r="513" spans="1:30" ht="31.5" x14ac:dyDescent="0.25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68" t="s">
        <v>186</v>
      </c>
      <c r="S513" s="144" t="s">
        <v>57</v>
      </c>
      <c r="T513" s="2">
        <v>365</v>
      </c>
      <c r="U513" s="2">
        <v>365</v>
      </c>
      <c r="V513" s="47">
        <v>366</v>
      </c>
      <c r="W513" s="2">
        <v>365</v>
      </c>
      <c r="X513" s="2">
        <v>365</v>
      </c>
      <c r="Y513" s="2">
        <v>365</v>
      </c>
      <c r="Z513" s="48">
        <f>T513+U513+V513+W513+X513+Y513</f>
        <v>2191</v>
      </c>
      <c r="AA513" s="44">
        <v>2023</v>
      </c>
      <c r="AB513" s="34"/>
    </row>
    <row r="514" spans="1:30" ht="32.25" customHeight="1" x14ac:dyDescent="0.25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68" t="s">
        <v>187</v>
      </c>
      <c r="S514" s="144" t="s">
        <v>39</v>
      </c>
      <c r="T514" s="2">
        <v>4917</v>
      </c>
      <c r="U514" s="2">
        <v>5400</v>
      </c>
      <c r="V514" s="2">
        <v>5400</v>
      </c>
      <c r="W514" s="2">
        <v>5400</v>
      </c>
      <c r="X514" s="2">
        <v>5400</v>
      </c>
      <c r="Y514" s="2">
        <v>5400</v>
      </c>
      <c r="Z514" s="48">
        <f>SUM(T514:Y514)</f>
        <v>31917</v>
      </c>
      <c r="AA514" s="44">
        <v>2023</v>
      </c>
      <c r="AB514" s="134"/>
      <c r="AC514" s="112"/>
    </row>
    <row r="515" spans="1:30" ht="47.25" x14ac:dyDescent="0.25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68" t="s">
        <v>188</v>
      </c>
      <c r="S515" s="144" t="s">
        <v>39</v>
      </c>
      <c r="T515" s="2">
        <v>4598</v>
      </c>
      <c r="U515" s="2">
        <v>1900</v>
      </c>
      <c r="V515" s="2">
        <v>1900</v>
      </c>
      <c r="W515" s="2">
        <v>1900</v>
      </c>
      <c r="X515" s="2">
        <v>1900</v>
      </c>
      <c r="Y515" s="2">
        <v>1900</v>
      </c>
      <c r="Z515" s="48">
        <f>SUM(T515:Y515)</f>
        <v>14098</v>
      </c>
      <c r="AA515" s="44">
        <v>2023</v>
      </c>
      <c r="AB515" s="134"/>
      <c r="AC515" s="112"/>
    </row>
    <row r="516" spans="1:30" ht="47.25" x14ac:dyDescent="0.25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68" t="s">
        <v>189</v>
      </c>
      <c r="S516" s="144" t="s">
        <v>39</v>
      </c>
      <c r="T516" s="2">
        <v>488</v>
      </c>
      <c r="U516" s="2">
        <v>550</v>
      </c>
      <c r="V516" s="2">
        <v>550</v>
      </c>
      <c r="W516" s="2">
        <v>550</v>
      </c>
      <c r="X516" s="2">
        <v>550</v>
      </c>
      <c r="Y516" s="2">
        <v>550</v>
      </c>
      <c r="Z516" s="48">
        <f>SUM(T516:Y516)</f>
        <v>3238</v>
      </c>
      <c r="AA516" s="44">
        <v>2023</v>
      </c>
      <c r="AB516" s="134"/>
      <c r="AC516" s="112"/>
    </row>
    <row r="517" spans="1:30" ht="31.5" x14ac:dyDescent="0.25">
      <c r="A517" s="60" t="s">
        <v>19</v>
      </c>
      <c r="B517" s="60" t="s">
        <v>20</v>
      </c>
      <c r="C517" s="60" t="s">
        <v>21</v>
      </c>
      <c r="D517" s="60" t="s">
        <v>19</v>
      </c>
      <c r="E517" s="60" t="s">
        <v>22</v>
      </c>
      <c r="F517" s="60" t="s">
        <v>19</v>
      </c>
      <c r="G517" s="60" t="s">
        <v>23</v>
      </c>
      <c r="H517" s="60" t="s">
        <v>20</v>
      </c>
      <c r="I517" s="60" t="s">
        <v>25</v>
      </c>
      <c r="J517" s="60" t="s">
        <v>19</v>
      </c>
      <c r="K517" s="60" t="s">
        <v>19</v>
      </c>
      <c r="L517" s="60" t="s">
        <v>25</v>
      </c>
      <c r="M517" s="60" t="s">
        <v>19</v>
      </c>
      <c r="N517" s="60" t="s">
        <v>19</v>
      </c>
      <c r="O517" s="60" t="s">
        <v>19</v>
      </c>
      <c r="P517" s="60" t="s">
        <v>19</v>
      </c>
      <c r="Q517" s="60" t="s">
        <v>20</v>
      </c>
      <c r="R517" s="61" t="s">
        <v>190</v>
      </c>
      <c r="S517" s="65" t="s">
        <v>0</v>
      </c>
      <c r="T517" s="66">
        <v>0</v>
      </c>
      <c r="U517" s="66">
        <v>4000</v>
      </c>
      <c r="V517" s="66">
        <v>0</v>
      </c>
      <c r="W517" s="66">
        <v>0</v>
      </c>
      <c r="X517" s="66">
        <v>10000</v>
      </c>
      <c r="Y517" s="66">
        <v>10000</v>
      </c>
      <c r="Z517" s="66">
        <f>T517+U517+V517+W517+X517+Y517</f>
        <v>24000</v>
      </c>
      <c r="AA517" s="65">
        <v>2023</v>
      </c>
      <c r="AB517" s="34"/>
      <c r="AC517" s="112"/>
    </row>
    <row r="518" spans="1:30" ht="35.450000000000003" customHeight="1" x14ac:dyDescent="0.25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3" t="s">
        <v>322</v>
      </c>
      <c r="S518" s="44" t="s">
        <v>39</v>
      </c>
      <c r="T518" s="47">
        <v>0</v>
      </c>
      <c r="U518" s="47">
        <v>1</v>
      </c>
      <c r="V518" s="47">
        <v>0</v>
      </c>
      <c r="W518" s="47">
        <v>0</v>
      </c>
      <c r="X518" s="47">
        <v>0</v>
      </c>
      <c r="Y518" s="47">
        <v>0</v>
      </c>
      <c r="Z518" s="55">
        <v>1</v>
      </c>
      <c r="AA518" s="44">
        <v>2019</v>
      </c>
      <c r="AB518" s="34"/>
      <c r="AC518" s="114"/>
      <c r="AD518" s="114"/>
    </row>
    <row r="519" spans="1:30" ht="34.9" customHeight="1" x14ac:dyDescent="0.25">
      <c r="A519" s="92"/>
      <c r="B519" s="92"/>
      <c r="C519" s="92"/>
      <c r="D519" s="92"/>
      <c r="E519" s="92"/>
      <c r="F519" s="92"/>
      <c r="G519" s="92"/>
      <c r="H519" s="92"/>
      <c r="I519" s="92"/>
      <c r="J519" s="92"/>
      <c r="K519" s="92"/>
      <c r="L519" s="92"/>
      <c r="M519" s="92"/>
      <c r="N519" s="92"/>
      <c r="O519" s="92"/>
      <c r="P519" s="92"/>
      <c r="Q519" s="92"/>
      <c r="R519" s="43" t="s">
        <v>88</v>
      </c>
      <c r="S519" s="104" t="s">
        <v>9</v>
      </c>
      <c r="T519" s="47">
        <v>0</v>
      </c>
      <c r="U519" s="47">
        <v>0</v>
      </c>
      <c r="V519" s="47">
        <v>0</v>
      </c>
      <c r="W519" s="47">
        <v>0</v>
      </c>
      <c r="X519" s="47">
        <v>50</v>
      </c>
      <c r="Y519" s="47">
        <v>50</v>
      </c>
      <c r="Z519" s="55">
        <v>100</v>
      </c>
      <c r="AA519" s="44">
        <v>2023</v>
      </c>
      <c r="AB519" s="34"/>
    </row>
    <row r="520" spans="1:30" ht="37.9" customHeight="1" x14ac:dyDescent="0.25">
      <c r="A520" s="60" t="s">
        <v>19</v>
      </c>
      <c r="B520" s="60" t="s">
        <v>20</v>
      </c>
      <c r="C520" s="60" t="s">
        <v>21</v>
      </c>
      <c r="D520" s="60" t="s">
        <v>19</v>
      </c>
      <c r="E520" s="60" t="s">
        <v>22</v>
      </c>
      <c r="F520" s="60" t="s">
        <v>19</v>
      </c>
      <c r="G520" s="60" t="s">
        <v>23</v>
      </c>
      <c r="H520" s="60" t="s">
        <v>20</v>
      </c>
      <c r="I520" s="60" t="s">
        <v>25</v>
      </c>
      <c r="J520" s="60" t="s">
        <v>19</v>
      </c>
      <c r="K520" s="60" t="s">
        <v>19</v>
      </c>
      <c r="L520" s="60" t="s">
        <v>25</v>
      </c>
      <c r="M520" s="60" t="s">
        <v>19</v>
      </c>
      <c r="N520" s="60" t="s">
        <v>19</v>
      </c>
      <c r="O520" s="60" t="s">
        <v>19</v>
      </c>
      <c r="P520" s="60" t="s">
        <v>19</v>
      </c>
      <c r="Q520" s="60" t="s">
        <v>21</v>
      </c>
      <c r="R520" s="61" t="s">
        <v>298</v>
      </c>
      <c r="S520" s="65" t="s">
        <v>0</v>
      </c>
      <c r="T520" s="66">
        <v>0</v>
      </c>
      <c r="U520" s="66">
        <f>10680+0.8</f>
        <v>10680.8</v>
      </c>
      <c r="V520" s="66">
        <v>0</v>
      </c>
      <c r="W520" s="66">
        <v>0</v>
      </c>
      <c r="X520" s="66">
        <v>0</v>
      </c>
      <c r="Y520" s="66">
        <v>0</v>
      </c>
      <c r="Z520" s="66">
        <f>T520+U520+V520+W520+X520+Y520</f>
        <v>10680.8</v>
      </c>
      <c r="AA520" s="65">
        <v>2019</v>
      </c>
      <c r="AB520" s="34"/>
      <c r="AC520" s="112"/>
    </row>
    <row r="521" spans="1:30" ht="31.5" x14ac:dyDescent="0.25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3" t="s">
        <v>323</v>
      </c>
      <c r="S521" s="44" t="s">
        <v>39</v>
      </c>
      <c r="T521" s="47">
        <v>0</v>
      </c>
      <c r="U521" s="47">
        <v>7300</v>
      </c>
      <c r="V521" s="47">
        <v>0</v>
      </c>
      <c r="W521" s="47">
        <v>0</v>
      </c>
      <c r="X521" s="47">
        <v>0</v>
      </c>
      <c r="Y521" s="47">
        <v>0</v>
      </c>
      <c r="Z521" s="55">
        <f>U521</f>
        <v>7300</v>
      </c>
      <c r="AA521" s="44">
        <v>2019</v>
      </c>
      <c r="AB521" s="34"/>
      <c r="AC521" s="114"/>
      <c r="AD521" s="114"/>
    </row>
    <row r="522" spans="1:30" x14ac:dyDescent="0.25">
      <c r="AA522" s="143" t="s">
        <v>63</v>
      </c>
    </row>
    <row r="524" spans="1:30" ht="61.15" customHeight="1" x14ac:dyDescent="0.25">
      <c r="A524" s="176" t="s">
        <v>199</v>
      </c>
      <c r="B524" s="176"/>
      <c r="C524" s="176"/>
      <c r="D524" s="176"/>
      <c r="E524" s="176"/>
      <c r="F524" s="176"/>
      <c r="G524" s="176"/>
      <c r="H524" s="176"/>
      <c r="I524" s="176"/>
      <c r="J524" s="176"/>
      <c r="K524" s="176"/>
      <c r="L524" s="176"/>
      <c r="M524" s="176"/>
      <c r="N524" s="176"/>
      <c r="O524" s="176"/>
      <c r="P524" s="176"/>
      <c r="Q524" s="176"/>
      <c r="R524" s="176"/>
      <c r="S524" s="176"/>
      <c r="T524" s="176"/>
      <c r="U524" s="176"/>
      <c r="V524" s="176"/>
      <c r="W524" s="176"/>
      <c r="X524" s="176"/>
      <c r="Y524" s="176"/>
      <c r="Z524" s="176"/>
      <c r="AA524" s="176"/>
    </row>
  </sheetData>
  <mergeCells count="71">
    <mergeCell ref="R401:R405"/>
    <mergeCell ref="R478:R479"/>
    <mergeCell ref="R481:R482"/>
    <mergeCell ref="A524:AA524"/>
    <mergeCell ref="R484:R485"/>
    <mergeCell ref="R487:R488"/>
    <mergeCell ref="R490:R491"/>
    <mergeCell ref="R412:R416"/>
    <mergeCell ref="R418:R422"/>
    <mergeCell ref="R424:R428"/>
    <mergeCell ref="R430:R434"/>
    <mergeCell ref="R436:R440"/>
    <mergeCell ref="R302:R307"/>
    <mergeCell ref="R309:R314"/>
    <mergeCell ref="R316:R321"/>
    <mergeCell ref="R323:R328"/>
    <mergeCell ref="R407:R410"/>
    <mergeCell ref="R330:R335"/>
    <mergeCell ref="R337:R342"/>
    <mergeCell ref="R344:R349"/>
    <mergeCell ref="R351:R355"/>
    <mergeCell ref="R357:R361"/>
    <mergeCell ref="R363:R368"/>
    <mergeCell ref="R370:R373"/>
    <mergeCell ref="R377:R381"/>
    <mergeCell ref="R383:R387"/>
    <mergeCell ref="R389:R393"/>
    <mergeCell ref="R395:R399"/>
    <mergeCell ref="R272:R275"/>
    <mergeCell ref="R277:R280"/>
    <mergeCell ref="R282:R286"/>
    <mergeCell ref="R289:R293"/>
    <mergeCell ref="R295:R300"/>
    <mergeCell ref="R244:R248"/>
    <mergeCell ref="R251:R255"/>
    <mergeCell ref="R257:R260"/>
    <mergeCell ref="R262:R265"/>
    <mergeCell ref="R267:R270"/>
    <mergeCell ref="R214:R217"/>
    <mergeCell ref="R219:R223"/>
    <mergeCell ref="R225:R229"/>
    <mergeCell ref="R231:R235"/>
    <mergeCell ref="R238:R242"/>
    <mergeCell ref="R202:R205"/>
    <mergeCell ref="R209:R212"/>
    <mergeCell ref="R42:R46"/>
    <mergeCell ref="R51:R54"/>
    <mergeCell ref="R157:R159"/>
    <mergeCell ref="R163:R166"/>
    <mergeCell ref="R170:R173"/>
    <mergeCell ref="R177:R180"/>
    <mergeCell ref="R184:R187"/>
    <mergeCell ref="R191:R194"/>
    <mergeCell ref="X7:AA7"/>
    <mergeCell ref="A8:AA8"/>
    <mergeCell ref="A9:AA9"/>
    <mergeCell ref="A10:AA10"/>
    <mergeCell ref="A12:Q12"/>
    <mergeCell ref="R12:R13"/>
    <mergeCell ref="S12:S13"/>
    <mergeCell ref="T12:Y12"/>
    <mergeCell ref="Z12:AA12"/>
    <mergeCell ref="A13:C13"/>
    <mergeCell ref="D13:E13"/>
    <mergeCell ref="F13:G13"/>
    <mergeCell ref="H13:Q13"/>
    <mergeCell ref="A1:AA1"/>
    <mergeCell ref="A3:AA3"/>
    <mergeCell ref="A4:AA4"/>
    <mergeCell ref="A5:AA5"/>
    <mergeCell ref="A6:AA6"/>
  </mergeCells>
  <pageMargins left="0.35433070866141736" right="0.31496062992125984" top="0.59055118110236227" bottom="0.59055118110236227" header="0" footer="0"/>
  <pageSetup paperSize="9" scale="69" orientation="landscape" useFirstPageNumber="1" r:id="rId1"/>
  <headerFooter differentFirst="1">
    <oddHeader>&amp;C &amp;P</oddHeader>
  </headerFooter>
  <ignoredErrors>
    <ignoredError sqref="U48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2019-05-21T14:13:23Z</dcterms:modified>
</cp:coreProperties>
</file>